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10" windowWidth="15315" windowHeight="7680"/>
  </bookViews>
  <sheets>
    <sheet name="Bots SEEA 2014-15" sheetId="1" r:id="rId1"/>
    <sheet name="comment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calcPr calcId="145621"/>
</workbook>
</file>

<file path=xl/calcChain.xml><?xml version="1.0" encoding="utf-8"?>
<calcChain xmlns="http://schemas.openxmlformats.org/spreadsheetml/2006/main">
  <c r="Z14" i="1" l="1"/>
  <c r="AC14" i="1"/>
  <c r="Q23" i="1" l="1"/>
  <c r="Q22" i="1" s="1"/>
  <c r="Q33" i="1" s="1"/>
  <c r="Q34" i="1" s="1"/>
  <c r="O17" i="1" l="1"/>
  <c r="W17" i="1" l="1"/>
  <c r="P17" i="1"/>
  <c r="O22" i="1"/>
  <c r="P22" i="1" l="1"/>
  <c r="AA17" i="1" l="1"/>
  <c r="Y17" i="1"/>
  <c r="X17" i="1"/>
  <c r="V17" i="1"/>
  <c r="U17" i="1"/>
  <c r="T17" i="1"/>
  <c r="S17" i="1"/>
  <c r="R17" i="1"/>
  <c r="N17" i="1" l="1"/>
  <c r="M17" i="1"/>
  <c r="L17" i="1"/>
  <c r="K17" i="1"/>
  <c r="J17" i="1"/>
  <c r="I17" i="1"/>
  <c r="H17" i="1"/>
  <c r="G17" i="1"/>
  <c r="F17" i="1"/>
  <c r="E17" i="1"/>
  <c r="D17" i="1"/>
  <c r="C17" i="1"/>
  <c r="O11" i="1" l="1"/>
  <c r="O6" i="1"/>
  <c r="C6" i="1" l="1"/>
  <c r="C8" i="1" s="1"/>
  <c r="C19" i="1" s="1"/>
  <c r="AB22" i="1" l="1"/>
  <c r="I11" i="1" l="1"/>
  <c r="I10" i="1"/>
  <c r="I7" i="1"/>
  <c r="I6" i="1"/>
  <c r="H11" i="1"/>
  <c r="H10" i="1"/>
  <c r="H7" i="1"/>
  <c r="H6" i="1"/>
  <c r="J15" i="1"/>
  <c r="K15" i="1"/>
  <c r="L15" i="1"/>
  <c r="M15" i="1"/>
  <c r="N15" i="1"/>
  <c r="O15" i="1"/>
  <c r="G11" i="1"/>
  <c r="G10" i="1"/>
  <c r="G7" i="1"/>
  <c r="G6" i="1"/>
  <c r="F11" i="1"/>
  <c r="F10" i="1"/>
  <c r="E12" i="1"/>
  <c r="E11" i="1"/>
  <c r="E10" i="1"/>
  <c r="F7" i="1"/>
  <c r="F6" i="1"/>
  <c r="E7" i="1"/>
  <c r="E6" i="1"/>
  <c r="H15" i="1" l="1"/>
  <c r="E15" i="1"/>
  <c r="I15" i="1"/>
  <c r="F15" i="1"/>
  <c r="G15" i="1"/>
  <c r="E8" i="1"/>
  <c r="F8" i="1"/>
  <c r="G8" i="1"/>
  <c r="H8" i="1"/>
  <c r="I8" i="1"/>
  <c r="J8" i="1"/>
  <c r="K8" i="1"/>
  <c r="L8" i="1"/>
  <c r="M8" i="1"/>
  <c r="N8" i="1"/>
  <c r="O8" i="1"/>
  <c r="R8" i="1"/>
  <c r="S8" i="1"/>
  <c r="T8" i="1"/>
  <c r="U8" i="1"/>
  <c r="V8" i="1"/>
  <c r="W8" i="1"/>
  <c r="X8" i="1"/>
  <c r="Y8" i="1"/>
  <c r="D6" i="1"/>
  <c r="D8" i="1" l="1"/>
  <c r="D11" i="1"/>
  <c r="C14" i="1"/>
  <c r="C11" i="1"/>
  <c r="D15" i="1" l="1"/>
  <c r="C15" i="1"/>
  <c r="AB33" i="1" l="1"/>
  <c r="AA33" i="1"/>
  <c r="Y33" i="1"/>
  <c r="X33" i="1"/>
  <c r="W33" i="1"/>
  <c r="V33" i="1"/>
  <c r="U33" i="1"/>
  <c r="T33" i="1"/>
  <c r="S33" i="1"/>
  <c r="O33" i="1"/>
  <c r="N33" i="1"/>
  <c r="M33" i="1"/>
  <c r="L33" i="1"/>
  <c r="K33" i="1"/>
  <c r="J33" i="1"/>
  <c r="I33" i="1"/>
  <c r="H33" i="1"/>
  <c r="G33" i="1"/>
  <c r="F33" i="1"/>
  <c r="D33" i="1"/>
  <c r="C33" i="1"/>
  <c r="AC28" i="1"/>
  <c r="AC27" i="1"/>
  <c r="E22" i="1"/>
  <c r="E33" i="1" s="1"/>
  <c r="AA19" i="1"/>
  <c r="AB10" i="1"/>
  <c r="AB15" i="1" s="1"/>
  <c r="AB8" i="1"/>
  <c r="AB19" i="1" s="1"/>
  <c r="AA34" i="1" l="1"/>
  <c r="AB34" i="1"/>
  <c r="Z22" i="1"/>
  <c r="AC22" i="1" s="1"/>
  <c r="F19" i="1" l="1"/>
  <c r="F34" i="1" s="1"/>
  <c r="H19" i="1"/>
  <c r="H34" i="1" s="1"/>
  <c r="J19" i="1"/>
  <c r="J34" i="1" s="1"/>
  <c r="L19" i="1"/>
  <c r="L34" i="1" s="1"/>
  <c r="N19" i="1"/>
  <c r="N34" i="1" s="1"/>
  <c r="O19" i="1"/>
  <c r="O34" i="1" s="1"/>
  <c r="S19" i="1"/>
  <c r="S34" i="1" s="1"/>
  <c r="U19" i="1"/>
  <c r="U34" i="1" s="1"/>
  <c r="W19" i="1"/>
  <c r="W34" i="1" s="1"/>
  <c r="E19" i="1"/>
  <c r="E34" i="1" s="1"/>
  <c r="G19" i="1"/>
  <c r="G34" i="1" s="1"/>
  <c r="I19" i="1"/>
  <c r="I34" i="1" s="1"/>
  <c r="K19" i="1"/>
  <c r="K34" i="1" s="1"/>
  <c r="M19" i="1"/>
  <c r="M34" i="1" s="1"/>
  <c r="P6" i="1"/>
  <c r="P7" i="1" s="1"/>
  <c r="R19" i="1"/>
  <c r="R34" i="1" s="1"/>
  <c r="T19" i="1"/>
  <c r="T34" i="1" s="1"/>
  <c r="V19" i="1"/>
  <c r="V34" i="1" s="1"/>
  <c r="X19" i="1"/>
  <c r="X34" i="1" s="1"/>
  <c r="Y19" i="1"/>
  <c r="Y34" i="1" s="1"/>
  <c r="D19" i="1" l="1"/>
  <c r="D34" i="1" s="1"/>
  <c r="P8" i="1"/>
  <c r="Z6" i="1"/>
  <c r="P10" i="1" l="1"/>
  <c r="P11" i="1"/>
  <c r="Z11" i="1" s="1"/>
  <c r="AC11" i="1" s="1"/>
  <c r="P12" i="1"/>
  <c r="P19" i="1"/>
  <c r="Z12" i="1"/>
  <c r="AC12" i="1" s="1"/>
  <c r="Z17" i="1"/>
  <c r="AC17" i="1" s="1"/>
  <c r="C34" i="1"/>
  <c r="P29" i="1"/>
  <c r="Z7" i="1"/>
  <c r="AC7" i="1" s="1"/>
  <c r="AC6" i="1"/>
  <c r="P15" i="1" l="1"/>
  <c r="AC8" i="1"/>
  <c r="Z10" i="1"/>
  <c r="AC10" i="1" s="1"/>
  <c r="Z29" i="1"/>
  <c r="AC29" i="1" s="1"/>
  <c r="P26" i="1"/>
  <c r="Z8" i="1"/>
  <c r="Z19" i="1" s="1"/>
  <c r="AC19" i="1" l="1"/>
  <c r="P33" i="1"/>
  <c r="Z26" i="1"/>
  <c r="AC26" i="1" s="1"/>
  <c r="P34" i="1" l="1"/>
  <c r="Z33" i="1"/>
  <c r="AC33" i="1" l="1"/>
  <c r="AC34" i="1" s="1"/>
  <c r="Z34" i="1"/>
  <c r="Z15" i="1"/>
  <c r="AC15" i="1" s="1"/>
  <c r="P13" i="1"/>
  <c r="Z13" i="1"/>
  <c r="AC13" i="1"/>
</calcChain>
</file>

<file path=xl/sharedStrings.xml><?xml version="1.0" encoding="utf-8"?>
<sst xmlns="http://schemas.openxmlformats.org/spreadsheetml/2006/main" count="73" uniqueCount="72">
  <si>
    <t xml:space="preserve">Agriculture </t>
  </si>
  <si>
    <t>Mining and Quarrying</t>
  </si>
  <si>
    <t xml:space="preserve">Manufacturing </t>
  </si>
  <si>
    <t xml:space="preserve">Water </t>
  </si>
  <si>
    <t>Livestock</t>
  </si>
  <si>
    <t>Other mining</t>
  </si>
  <si>
    <t>Meat &amp; meat products</t>
  </si>
  <si>
    <t>Textiles</t>
  </si>
  <si>
    <t>Leather &amp; leather products</t>
  </si>
  <si>
    <t>Other manufacturing</t>
  </si>
  <si>
    <t>Electricity</t>
  </si>
  <si>
    <t>Water service providers</t>
  </si>
  <si>
    <t>Construction</t>
  </si>
  <si>
    <t>Trade</t>
  </si>
  <si>
    <t>Hotel &amp; restaurants</t>
  </si>
  <si>
    <t>Transport</t>
  </si>
  <si>
    <t>Finance and business</t>
  </si>
  <si>
    <t>Social &amp; personal services</t>
  </si>
  <si>
    <t>Government</t>
  </si>
  <si>
    <t>Int. Organisations</t>
  </si>
  <si>
    <t>Total agr &amp; ind</t>
  </si>
  <si>
    <t>households</t>
  </si>
  <si>
    <t>rest world</t>
  </si>
  <si>
    <t>Total</t>
  </si>
  <si>
    <t>I. Physical use table</t>
  </si>
  <si>
    <t>From the environment</t>
  </si>
  <si>
    <t>1a.Abstraction for own use</t>
  </si>
  <si>
    <t>1b.Abstraction for distribution</t>
  </si>
  <si>
    <t>1. Total abstraction</t>
  </si>
  <si>
    <t>1i.Reservoir water</t>
  </si>
  <si>
    <t>1ii.Ground water</t>
  </si>
  <si>
    <t>1iii.River water</t>
  </si>
  <si>
    <t>1iv.Rainwater harvesting</t>
  </si>
  <si>
    <t>Within the economy</t>
  </si>
  <si>
    <t>2. Use of water from other economic sectors</t>
  </si>
  <si>
    <t>Total use of water (1+2)</t>
  </si>
  <si>
    <t xml:space="preserve">II. Physical supply table </t>
  </si>
  <si>
    <t>4. Supply of water to other economic units (4a+4b)</t>
  </si>
  <si>
    <t>4a. Re-used water</t>
  </si>
  <si>
    <t xml:space="preserve">4b. Wastewater to sewerage </t>
  </si>
  <si>
    <t>Into the environment</t>
  </si>
  <si>
    <t>5. Total returns (5.a+5.b)</t>
  </si>
  <si>
    <t>5.a. To inland water resources</t>
  </si>
  <si>
    <t>5.a.1. Surface water</t>
  </si>
  <si>
    <t>5.a.2. Groundwater</t>
  </si>
  <si>
    <t>5.a.3. Soil water</t>
  </si>
  <si>
    <t xml:space="preserve">5.b. To other sources </t>
  </si>
  <si>
    <t>6.Total supply of water (4+5)</t>
  </si>
  <si>
    <t>7. Consumption (3-6)</t>
  </si>
  <si>
    <t xml:space="preserve">insert the sewerage sector (treated effluent used i the irrigation sector </t>
  </si>
  <si>
    <t>1v.(Reservoir and river water)</t>
  </si>
  <si>
    <t>Abstraction from water resources (1i-1v)</t>
  </si>
  <si>
    <t>The economic activities have been classified according to ISIC Rev 3 that Botswana is currently using.</t>
  </si>
  <si>
    <t xml:space="preserve">Sewage and waste water have not been distinguished in the accounts. Under ISIC, sewerage is included under social and personal services. Future accounts need to distinguish wastewater and sewage under WUC which is the service provider responsible for these.  </t>
  </si>
  <si>
    <t xml:space="preserve">Livestock farming includes both traditional and commercial farming. The water use was computed by multiplying animal population by the annual water requirements per head.  </t>
  </si>
  <si>
    <t>Diamond mining water abstraction for distribution to WUC has been included.</t>
  </si>
  <si>
    <t xml:space="preserve">Water imported from Molatedi is captured in the supply table as the water supplied to other economic units by the 'Rest of the world'. It has been deducted from WUC's abstraction for distribution, as well as from water supplied by WUC to other economic units. On the use table, it has been captured as the water the WUC receives from other economic units.  </t>
  </si>
  <si>
    <t xml:space="preserve">WUC water abstraction for own use is derived from the WUC sales to the water sector. It is deducted from WUC water abstrated, and WUC water supplied to other sectors (56.5). </t>
  </si>
  <si>
    <t xml:space="preserve">Education and health facilities (both public and private) have been subsumed within the social and personal services. </t>
  </si>
  <si>
    <t>Irrigation</t>
  </si>
  <si>
    <t xml:space="preserve">Diamond </t>
  </si>
  <si>
    <t xml:space="preserve">Copper/nickel </t>
  </si>
  <si>
    <t xml:space="preserve">Coal </t>
  </si>
  <si>
    <t xml:space="preserve">Soda ash </t>
  </si>
  <si>
    <t>Gold</t>
  </si>
  <si>
    <t>So where are the balances in this regard? All sectors balance</t>
  </si>
  <si>
    <t xml:space="preserve">WA code </t>
  </si>
  <si>
    <t>21+22</t>
  </si>
  <si>
    <t xml:space="preserve">Water received by the Electricity sector includes billed water from WUC. We have not included the water from MCM as it is unclear how much it is. We need to clarify this to avoid double counting.  </t>
  </si>
  <si>
    <t>sewerage</t>
  </si>
  <si>
    <r>
      <t>2014/15 Table (000m</t>
    </r>
    <r>
      <rPr>
        <b/>
        <vertAlign val="superscript"/>
        <sz val="9"/>
        <color theme="1"/>
        <rFont val="Calibri"/>
        <family val="2"/>
        <scheme val="minor"/>
      </rPr>
      <t>3)</t>
    </r>
  </si>
  <si>
    <t>Ideally there should be a balance :  Abstraction+use of water from other economic units = supply of water to other economic units+total reurns+water consumption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</si>
</sst>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 #,##0.00_ ;_ * \-#,##0.00_ ;_ * &quot;-&quot;??_ ;_ @_ "/>
    <numFmt numFmtId="166" formatCode="0.0"/>
    <numFmt numFmtId="167" formatCode="#,##0.0"/>
    <numFmt numFmtId="168" formatCode="_-* #,##0_-;\-* #,##0_-;_-* &quot;-&quot;??_-;_-@_-"/>
    <numFmt numFmtId="169" formatCode="_ * #,##0.0_ ;_ * \-#,##0.0_ ;_ * &quot;-&quot;??_ ;_ @_ "/>
    <numFmt numFmtId="170" formatCode="_-* #,##0.0_-;\-* #,##0.0_-;_-* &quot;-&quot;?_-;_-@_-"/>
  </numFmts>
  <fonts count="12" x14ac:knownFonts="1">
    <font>
      <sz val="11"/>
      <color theme="1"/>
      <name val="Calibri"/>
      <family val="2"/>
      <scheme val="minor"/>
    </font>
    <font>
      <sz val="11"/>
      <color theme="1"/>
      <name val="Calibri"/>
      <family val="2"/>
      <scheme val="minor"/>
    </font>
    <font>
      <b/>
      <sz val="9"/>
      <color theme="1"/>
      <name val="Calibri"/>
      <family val="2"/>
      <scheme val="minor"/>
    </font>
    <font>
      <b/>
      <vertAlign val="superscript"/>
      <sz val="9"/>
      <color theme="1"/>
      <name val="Calibri"/>
      <family val="2"/>
      <scheme val="minor"/>
    </font>
    <font>
      <sz val="9"/>
      <color theme="1"/>
      <name val="Calibri"/>
      <family val="2"/>
      <scheme val="minor"/>
    </font>
    <font>
      <b/>
      <sz val="9"/>
      <color rgb="FF000000"/>
      <name val="Calibri"/>
      <family val="2"/>
      <scheme val="minor"/>
    </font>
    <font>
      <b/>
      <sz val="9"/>
      <name val="Calibri"/>
      <family val="2"/>
      <scheme val="minor"/>
    </font>
    <font>
      <sz val="9"/>
      <color rgb="FF000000"/>
      <name val="Calibri"/>
      <family val="2"/>
      <scheme val="minor"/>
    </font>
    <font>
      <sz val="9"/>
      <name val="Calibri"/>
      <family val="2"/>
      <scheme val="minor"/>
    </font>
    <font>
      <sz val="11"/>
      <color rgb="FF000000"/>
      <name val="Calibri"/>
      <family val="2"/>
      <scheme val="minor"/>
    </font>
    <font>
      <sz val="11"/>
      <name val="Calibri"/>
      <family val="2"/>
      <scheme val="minor"/>
    </font>
    <font>
      <sz val="8"/>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2" fillId="0" borderId="0" xfId="0" applyFont="1" applyFill="1"/>
    <xf numFmtId="0" fontId="5" fillId="0" borderId="1" xfId="0" applyFont="1" applyFill="1" applyBorder="1" applyAlignment="1">
      <alignment horizontal="right"/>
    </xf>
    <xf numFmtId="0" fontId="5" fillId="0" borderId="2" xfId="0" applyFont="1" applyFill="1" applyBorder="1" applyAlignment="1">
      <alignment horizontal="center"/>
    </xf>
    <xf numFmtId="166" fontId="2" fillId="0" borderId="2" xfId="0" applyNumberFormat="1" applyFont="1" applyFill="1" applyBorder="1" applyAlignment="1">
      <alignment horizontal="center"/>
    </xf>
    <xf numFmtId="0" fontId="2" fillId="0" borderId="1" xfId="0" applyFont="1" applyFill="1" applyBorder="1"/>
    <xf numFmtId="0" fontId="4" fillId="0" borderId="1" xfId="0" applyFont="1" applyFill="1" applyBorder="1"/>
    <xf numFmtId="0" fontId="5" fillId="0" borderId="4" xfId="0" applyFont="1" applyFill="1" applyBorder="1" applyAlignment="1">
      <alignment horizontal="left"/>
    </xf>
    <xf numFmtId="0" fontId="5" fillId="0" borderId="1" xfId="0" applyFont="1" applyFill="1" applyBorder="1" applyAlignment="1">
      <alignment horizontal="left"/>
    </xf>
    <xf numFmtId="166" fontId="6" fillId="0" borderId="1" xfId="0" applyNumberFormat="1" applyFont="1" applyFill="1" applyBorder="1" applyAlignment="1">
      <alignment wrapText="1"/>
    </xf>
    <xf numFmtId="166" fontId="2" fillId="0" borderId="1" xfId="0" applyNumberFormat="1" applyFont="1" applyFill="1" applyBorder="1"/>
    <xf numFmtId="0" fontId="5" fillId="0" borderId="1" xfId="0" applyFont="1" applyFill="1" applyBorder="1" applyAlignment="1">
      <alignment horizontal="justify" wrapText="1"/>
    </xf>
    <xf numFmtId="0" fontId="5" fillId="0" borderId="2" xfId="0" applyFont="1" applyFill="1" applyBorder="1" applyAlignment="1">
      <alignment horizontal="left"/>
    </xf>
    <xf numFmtId="167" fontId="7" fillId="0" borderId="1" xfId="0" applyNumberFormat="1" applyFont="1" applyFill="1" applyBorder="1" applyAlignment="1"/>
    <xf numFmtId="167" fontId="7" fillId="0" borderId="1" xfId="0" applyNumberFormat="1" applyFont="1" applyFill="1" applyBorder="1" applyAlignment="1">
      <alignment horizontal="left" wrapText="1"/>
    </xf>
    <xf numFmtId="167" fontId="5" fillId="0" borderId="1" xfId="0" applyNumberFormat="1" applyFont="1" applyFill="1" applyBorder="1" applyAlignment="1">
      <alignment horizontal="left"/>
    </xf>
    <xf numFmtId="167" fontId="7" fillId="0" borderId="1" xfId="0" applyNumberFormat="1" applyFont="1" applyFill="1" applyBorder="1" applyAlignment="1">
      <alignment horizontal="left"/>
    </xf>
    <xf numFmtId="167" fontId="5" fillId="0" borderId="1" xfId="0" applyNumberFormat="1" applyFont="1" applyFill="1" applyBorder="1" applyAlignment="1">
      <alignment horizontal="left" wrapText="1"/>
    </xf>
    <xf numFmtId="168" fontId="4" fillId="0" borderId="1" xfId="1" applyNumberFormat="1" applyFont="1" applyFill="1" applyBorder="1"/>
    <xf numFmtId="167" fontId="5" fillId="0" borderId="1" xfId="0" applyNumberFormat="1" applyFont="1" applyFill="1" applyBorder="1" applyAlignment="1">
      <alignment wrapText="1"/>
    </xf>
    <xf numFmtId="167" fontId="6" fillId="0" borderId="1" xfId="0" applyNumberFormat="1" applyFont="1" applyFill="1" applyBorder="1" applyAlignment="1">
      <alignment horizontal="left" wrapText="1"/>
    </xf>
    <xf numFmtId="167" fontId="8" fillId="0" borderId="1" xfId="0" applyNumberFormat="1" applyFont="1" applyFill="1" applyBorder="1" applyAlignment="1">
      <alignment horizontal="left" wrapText="1"/>
    </xf>
    <xf numFmtId="167" fontId="4" fillId="0" borderId="1" xfId="0" applyNumberFormat="1" applyFont="1" applyFill="1" applyBorder="1"/>
    <xf numFmtId="167" fontId="8" fillId="0" borderId="1" xfId="0" applyNumberFormat="1" applyFont="1" applyFill="1" applyBorder="1" applyAlignment="1">
      <alignment horizontal="left" wrapText="1" indent="1"/>
    </xf>
    <xf numFmtId="167" fontId="8" fillId="0" borderId="1" xfId="0" applyNumberFormat="1" applyFont="1" applyFill="1" applyBorder="1" applyAlignment="1">
      <alignment horizontal="left" wrapText="1" indent="2"/>
    </xf>
    <xf numFmtId="167" fontId="6" fillId="0" borderId="1" xfId="0" applyNumberFormat="1" applyFont="1" applyFill="1" applyBorder="1" applyAlignment="1">
      <alignment wrapText="1"/>
    </xf>
    <xf numFmtId="165" fontId="0" fillId="0" borderId="0" xfId="0" applyNumberFormat="1"/>
    <xf numFmtId="169" fontId="4" fillId="0" borderId="4" xfId="1" applyNumberFormat="1" applyFont="1" applyFill="1" applyBorder="1"/>
    <xf numFmtId="169" fontId="4" fillId="0" borderId="1" xfId="1" applyNumberFormat="1" applyFont="1" applyFill="1" applyBorder="1"/>
    <xf numFmtId="169" fontId="4" fillId="0" borderId="2" xfId="1" applyNumberFormat="1" applyFont="1" applyFill="1" applyBorder="1"/>
    <xf numFmtId="169" fontId="2" fillId="0" borderId="1" xfId="1" applyNumberFormat="1" applyFont="1" applyFill="1" applyBorder="1"/>
    <xf numFmtId="169" fontId="2" fillId="0" borderId="4" xfId="1" applyNumberFormat="1" applyFont="1" applyFill="1" applyBorder="1"/>
    <xf numFmtId="169" fontId="4" fillId="0" borderId="0" xfId="1" applyNumberFormat="1" applyFont="1" applyFill="1"/>
    <xf numFmtId="169" fontId="2" fillId="0" borderId="2" xfId="1" applyNumberFormat="1" applyFont="1" applyFill="1" applyBorder="1"/>
    <xf numFmtId="0" fontId="9" fillId="0" borderId="0" xfId="0" applyFont="1" applyBorder="1" applyAlignment="1"/>
    <xf numFmtId="0" fontId="9" fillId="0" borderId="0" xfId="0" applyFont="1" applyBorder="1" applyAlignment="1">
      <alignment horizontal="left"/>
    </xf>
    <xf numFmtId="0" fontId="9" fillId="0" borderId="0" xfId="0" applyFont="1" applyBorder="1" applyAlignment="1">
      <alignment horizontal="right"/>
    </xf>
    <xf numFmtId="0" fontId="9" fillId="0" borderId="0" xfId="0" applyFont="1"/>
    <xf numFmtId="0" fontId="10" fillId="0" borderId="0" xfId="0" applyFont="1" applyBorder="1" applyAlignment="1">
      <alignment horizontal="left"/>
    </xf>
    <xf numFmtId="0" fontId="9" fillId="0" borderId="0" xfId="0" applyFont="1" applyFill="1" applyBorder="1" applyAlignment="1"/>
    <xf numFmtId="0" fontId="9" fillId="0" borderId="0" xfId="0" applyFont="1" applyFill="1" applyBorder="1" applyAlignment="1">
      <alignment horizontal="left"/>
    </xf>
    <xf numFmtId="170" fontId="0" fillId="0" borderId="0" xfId="0" applyNumberFormat="1"/>
    <xf numFmtId="164" fontId="0" fillId="0" borderId="0" xfId="0" applyNumberFormat="1"/>
    <xf numFmtId="164" fontId="11" fillId="0" borderId="0" xfId="2" applyNumberFormat="1" applyFont="1"/>
    <xf numFmtId="0" fontId="7" fillId="0" borderId="4" xfId="0" applyFont="1" applyFill="1" applyBorder="1" applyAlignment="1">
      <alignment horizontal="left" textRotation="90" wrapText="1"/>
    </xf>
    <xf numFmtId="0" fontId="7" fillId="0" borderId="1" xfId="0" applyFont="1" applyFill="1" applyBorder="1" applyAlignment="1">
      <alignment horizontal="left" textRotation="90"/>
    </xf>
    <xf numFmtId="166" fontId="8" fillId="0" borderId="1" xfId="0" applyNumberFormat="1" applyFont="1" applyFill="1" applyBorder="1" applyAlignment="1">
      <alignment textRotation="90"/>
    </xf>
    <xf numFmtId="166" fontId="4" fillId="0" borderId="1" xfId="0" applyNumberFormat="1" applyFont="1" applyFill="1" applyBorder="1" applyAlignment="1">
      <alignment textRotation="90"/>
    </xf>
    <xf numFmtId="0" fontId="4" fillId="0" borderId="0" xfId="0" applyFont="1" applyFill="1" applyAlignment="1">
      <alignment textRotation="90"/>
    </xf>
    <xf numFmtId="0" fontId="7" fillId="0" borderId="1" xfId="0" applyFont="1" applyFill="1" applyBorder="1" applyAlignment="1">
      <alignment horizontal="justify" textRotation="90"/>
    </xf>
    <xf numFmtId="0" fontId="5" fillId="0" borderId="1" xfId="0" applyFont="1" applyFill="1" applyBorder="1" applyAlignment="1">
      <alignment horizontal="justify" textRotation="90"/>
    </xf>
    <xf numFmtId="1" fontId="6" fillId="0" borderId="1" xfId="0" applyNumberFormat="1" applyFont="1" applyFill="1" applyBorder="1" applyAlignment="1">
      <alignment horizontal="left"/>
    </xf>
    <xf numFmtId="0" fontId="6" fillId="0" borderId="1" xfId="0" applyNumberFormat="1" applyFont="1" applyFill="1" applyBorder="1" applyAlignment="1">
      <alignment horizontal="left"/>
    </xf>
    <xf numFmtId="0" fontId="6" fillId="0" borderId="1" xfId="0" applyNumberFormat="1" applyFont="1" applyFill="1" applyBorder="1" applyAlignment="1">
      <alignment horizontal="left" wrapText="1"/>
    </xf>
    <xf numFmtId="1" fontId="6" fillId="0" borderId="1" xfId="0" applyNumberFormat="1" applyFont="1" applyFill="1" applyBorder="1" applyAlignment="1">
      <alignment horizontal="left" wrapText="1"/>
    </xf>
    <xf numFmtId="1" fontId="5" fillId="0" borderId="1" xfId="0" applyNumberFormat="1" applyFont="1" applyFill="1" applyBorder="1" applyAlignment="1">
      <alignment horizontal="left"/>
    </xf>
    <xf numFmtId="3" fontId="5" fillId="0" borderId="1" xfId="0" applyNumberFormat="1" applyFont="1" applyFill="1" applyBorder="1" applyAlignment="1">
      <alignment horizontal="left"/>
    </xf>
    <xf numFmtId="167" fontId="8" fillId="0" borderId="1" xfId="0" applyNumberFormat="1" applyFont="1" applyFill="1" applyBorder="1" applyAlignment="1">
      <alignment horizontal="center" wrapText="1"/>
    </xf>
    <xf numFmtId="0" fontId="5" fillId="0" borderId="2" xfId="0" applyFont="1" applyFill="1" applyBorder="1" applyAlignment="1">
      <alignment horizontal="center"/>
    </xf>
    <xf numFmtId="169" fontId="0" fillId="0" borderId="0" xfId="0" applyNumberFormat="1"/>
    <xf numFmtId="43" fontId="0" fillId="0" borderId="0" xfId="0" applyNumberFormat="1"/>
    <xf numFmtId="168" fontId="0" fillId="0" borderId="0" xfId="0" applyNumberFormat="1"/>
    <xf numFmtId="168" fontId="0" fillId="0" borderId="0" xfId="0" applyNumberFormat="1" applyFill="1"/>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169" fontId="4" fillId="0" borderId="4" xfId="1" applyNumberFormat="1" applyFont="1" applyFill="1" applyBorder="1" applyProtection="1">
      <protection hidden="1"/>
    </xf>
    <xf numFmtId="169" fontId="4" fillId="0" borderId="1" xfId="1" applyNumberFormat="1" applyFont="1" applyFill="1" applyBorder="1" applyProtection="1">
      <protection hidden="1"/>
    </xf>
    <xf numFmtId="169" fontId="2" fillId="0" borderId="1" xfId="1" applyNumberFormat="1" applyFont="1" applyFill="1" applyBorder="1" applyProtection="1">
      <protection hidden="1"/>
    </xf>
    <xf numFmtId="169" fontId="2" fillId="0" borderId="4" xfId="1" applyNumberFormat="1" applyFont="1" applyFill="1" applyBorder="1" applyProtection="1">
      <protection hidden="1"/>
    </xf>
    <xf numFmtId="169" fontId="2" fillId="0" borderId="0" xfId="1" applyNumberFormat="1" applyFont="1" applyFill="1" applyBorder="1" applyProtection="1">
      <protection hidden="1"/>
    </xf>
    <xf numFmtId="169" fontId="4" fillId="0" borderId="0" xfId="1" applyNumberFormat="1" applyFont="1" applyFill="1" applyProtection="1">
      <protection hidden="1"/>
    </xf>
    <xf numFmtId="169" fontId="4" fillId="0" borderId="2" xfId="1" applyNumberFormat="1" applyFont="1" applyFill="1" applyBorder="1" applyProtection="1">
      <protection hidden="1"/>
    </xf>
    <xf numFmtId="169" fontId="2" fillId="0" borderId="2" xfId="1" applyNumberFormat="1" applyFont="1" applyFill="1" applyBorder="1" applyProtection="1">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A%2014-15\WUC%202014-15\Agriculture\Summary%20irrigation%20data%206%2010%201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Tshepo/Dropbox/WUC/WUC%20data%20analysis/Client%20data%20base/WUC%20analysed%20client%20data%2020.1.16%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obpule/Dropbox/WATER_ACCOUNTS/DATA_UPDATES/MINES&amp;BPC2015_16/water%20balance%20mining%20sector/individual%20Mines%20water%20balance%202014-2015%2020.01.1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Tshepo/Dropbox/WUC/WUC%20data%20analysis/Prodn%20and%20Cons%20by%20MC/Exports%20and%20Imports%20-updated%202014-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WA%2014-15\WUC%202014-15\Agriculture\Livestock%20water%20use%20phase%202%20up%20to%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A%2014-15\Mining%202014-15\Water%20balances%20sum%20for%20the%20mining%20sector%2030.11.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WA%2014-15\Mining%202014-15\individual%20Mines%20water%20balance%202014-2015%2029.11.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WA%2014-15\WUC%202014-15\Car%20Data\WUC%20analysed%20client%20data%2015.12.1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shepo/Dropbox/WUC/WUC%20data%20analysis/2014_15%20WUC%20Productions_22.12.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WA%2014-15\WUC%202014-15\Exports%20and%20Imports%20-March%20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shepo/Dropbox/WUC/Agriculture/Summary%20irrigation%20data%206%2010%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Tshepo/Dropbox/WUC/WUC%20data%20analysis/Client%20data%20base/WUC%20analysed%20client%20data%2015.12.1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0">
          <cell r="M10">
            <v>8287.5624999999982</v>
          </cell>
          <cell r="N10">
            <v>13615.281249999998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14"/>
      <sheetName val=" Merged 2014-15"/>
      <sheetName val="Coded -new contracts"/>
      <sheetName val="Final coded 14-15"/>
      <sheetName val="Pivot table 2014-15"/>
      <sheetName val="Correction factors"/>
      <sheetName val="Corrected sales"/>
    </sheetNames>
    <sheetDataSet>
      <sheetData sheetId="0"/>
      <sheetData sheetId="1"/>
      <sheetData sheetId="2"/>
      <sheetData sheetId="3"/>
      <sheetData sheetId="4"/>
      <sheetData sheetId="5"/>
      <sheetData sheetId="6">
        <row r="16">
          <cell r="E16">
            <v>104.54985357343394</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TASH"/>
      <sheetName val="TATI-NICKEL"/>
      <sheetName val="BCL"/>
      <sheetName val="BOTETI"/>
      <sheetName val="AFRICA_COPPER_MOWANA"/>
      <sheetName val="DEBSWANA_OLD"/>
      <sheetName val="DEBSWANA_JWANENG"/>
      <sheetName val="DEBSWANA_MCM"/>
      <sheetName val="ACAP"/>
      <sheetName val="BOSETO"/>
      <sheetName val="MUPANE"/>
      <sheetName val="BPC"/>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0">
          <cell r="G10">
            <v>53.12</v>
          </cell>
        </row>
        <row r="11">
          <cell r="G11">
            <v>19.675000000000001</v>
          </cell>
        </row>
      </sheetData>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s and export(2012-2015)"/>
    </sheetNames>
    <sheetDataSet>
      <sheetData sheetId="0">
        <row r="8">
          <cell r="O8">
            <v>7042.7030000000004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graphs"/>
      <sheetName val="assumptions"/>
    </sheetNames>
    <sheetDataSet>
      <sheetData sheetId="0">
        <row r="13">
          <cell r="AT13">
            <v>46271.245614976768</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Diamonds"/>
      <sheetName val="Copper-nickel"/>
      <sheetName val="Soda ash"/>
      <sheetName val="Coal"/>
      <sheetName val="Gold"/>
    </sheetNames>
    <sheetDataSet>
      <sheetData sheetId="0" refreshError="1">
        <row r="3">
          <cell r="D3">
            <v>25445.21753726829</v>
          </cell>
          <cell r="E3">
            <v>2600.8975999999998</v>
          </cell>
          <cell r="F3">
            <v>580.00629723862232</v>
          </cell>
          <cell r="G3">
            <v>46.579999999999991</v>
          </cell>
          <cell r="H3">
            <v>467.572</v>
          </cell>
        </row>
        <row r="4">
          <cell r="D4">
            <v>2000.39</v>
          </cell>
          <cell r="E4">
            <v>0</v>
          </cell>
          <cell r="F4">
            <v>0</v>
          </cell>
          <cell r="G4">
            <v>0</v>
          </cell>
          <cell r="H4">
            <v>0</v>
          </cell>
        </row>
        <row r="7">
          <cell r="D7">
            <v>2987.4490690000002</v>
          </cell>
          <cell r="E7">
            <v>2.0399999999999995E-2</v>
          </cell>
          <cell r="F7">
            <v>0</v>
          </cell>
          <cell r="G7">
            <v>1.23</v>
          </cell>
          <cell r="H7">
            <v>0</v>
          </cell>
        </row>
        <row r="8">
          <cell r="D8">
            <v>24458.158468268288</v>
          </cell>
          <cell r="E8">
            <v>2600.8771999999999</v>
          </cell>
          <cell r="F8">
            <v>580.00629723862232</v>
          </cell>
          <cell r="G8">
            <v>45.349999999999994</v>
          </cell>
          <cell r="H8">
            <v>467.572</v>
          </cell>
        </row>
        <row r="9">
          <cell r="D9">
            <v>0</v>
          </cell>
        </row>
        <row r="16">
          <cell r="D16">
            <v>2000.39</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TASH"/>
      <sheetName val="TATI-NICKEL"/>
      <sheetName val="BCL"/>
      <sheetName val="BOTETI"/>
      <sheetName val="AFRICA_COPPER_MOWANA"/>
      <sheetName val="DEBSWANA_OLD"/>
      <sheetName val="DEBSWANA_JWANENG"/>
      <sheetName val="DEBSWANA_MCM"/>
      <sheetName val="ACAP"/>
      <sheetName val="BOSETO"/>
      <sheetName val="MUPANE"/>
      <sheetName val="BPC"/>
      <sheetName val="Sheet1"/>
    </sheetNames>
    <sheetDataSet>
      <sheetData sheetId="0"/>
      <sheetData sheetId="1"/>
      <sheetData sheetId="2"/>
      <sheetData sheetId="3"/>
      <sheetData sheetId="4"/>
      <sheetData sheetId="5"/>
      <sheetData sheetId="6"/>
      <sheetData sheetId="7">
        <row r="10">
          <cell r="G10">
            <v>101.59139999999996</v>
          </cell>
        </row>
      </sheetData>
      <sheetData sheetId="8"/>
      <sheetData sheetId="9"/>
      <sheetData sheetId="10"/>
      <sheetData sheetId="11">
        <row r="6">
          <cell r="G6">
            <v>743.09100000000001</v>
          </cell>
        </row>
        <row r="7">
          <cell r="G7">
            <v>743.09100000000001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14"/>
      <sheetName val=" Merged 2014-15"/>
      <sheetName val="Coded -new contracts"/>
      <sheetName val="Final coded 14-15"/>
      <sheetName val="Pivot table 2014-15"/>
      <sheetName val="Correction factors"/>
      <sheetName val="Corrected sales"/>
    </sheetNames>
    <sheetDataSet>
      <sheetData sheetId="0" refreshError="1"/>
      <sheetData sheetId="1" refreshError="1"/>
      <sheetData sheetId="2" refreshError="1"/>
      <sheetData sheetId="3" refreshError="1"/>
      <sheetData sheetId="4" refreshError="1"/>
      <sheetData sheetId="5" refreshError="1"/>
      <sheetData sheetId="6" refreshError="1">
        <row r="3">
          <cell r="C3">
            <v>157.15973731398969</v>
          </cell>
        </row>
        <row r="15">
          <cell r="C15">
            <v>56.521382125220384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th"/>
      <sheetName val="North"/>
      <sheetName val="Raw Water to Mines"/>
      <sheetName val="Aggregate prodn by MC "/>
    </sheetNames>
    <sheetDataSet>
      <sheetData sheetId="0" refreshError="1"/>
      <sheetData sheetId="1" refreshError="1"/>
      <sheetData sheetId="2" refreshError="1"/>
      <sheetData sheetId="3">
        <row r="20">
          <cell r="B20">
            <v>96888.370357486667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s and export(2012-2015)"/>
    </sheetNames>
    <sheetDataSet>
      <sheetData sheetId="0">
        <row r="8">
          <cell r="O8">
            <v>7042.7030000000004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0">
          <cell r="O10">
            <v>1775.90625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14"/>
      <sheetName val=" Merged 2014-15"/>
      <sheetName val="Coded -new contracts"/>
      <sheetName val="Final coded 14-15"/>
      <sheetName val="Pivot table 2014-15"/>
      <sheetName val="Correction factors"/>
      <sheetName val="Corrected sales"/>
    </sheetNames>
    <sheetDataSet>
      <sheetData sheetId="0"/>
      <sheetData sheetId="1"/>
      <sheetData sheetId="2"/>
      <sheetData sheetId="3"/>
      <sheetData sheetId="4"/>
      <sheetData sheetId="5"/>
      <sheetData sheetId="6">
        <row r="3">
          <cell r="E3">
            <v>160.54482182428282</v>
          </cell>
        </row>
        <row r="4">
          <cell r="E4">
            <v>50.770855507635801</v>
          </cell>
        </row>
        <row r="5">
          <cell r="E5">
            <v>238.62344337782059</v>
          </cell>
        </row>
        <row r="6">
          <cell r="E6">
            <v>6864.8506563332903</v>
          </cell>
        </row>
        <row r="7">
          <cell r="E7">
            <v>821.11729539523401</v>
          </cell>
        </row>
        <row r="8">
          <cell r="E8">
            <v>337.50873636859143</v>
          </cell>
        </row>
        <row r="9">
          <cell r="E9">
            <v>1578.1182713704793</v>
          </cell>
        </row>
        <row r="10">
          <cell r="E10">
            <v>51.212359576916654</v>
          </cell>
        </row>
        <row r="11">
          <cell r="E11">
            <v>952.50383651002608</v>
          </cell>
        </row>
        <row r="12">
          <cell r="E12">
            <v>174.48388690155397</v>
          </cell>
        </row>
        <row r="13">
          <cell r="E13">
            <v>1.0108119480903608</v>
          </cell>
        </row>
        <row r="14">
          <cell r="E14">
            <v>1008.9888954023734</v>
          </cell>
        </row>
        <row r="15">
          <cell r="E15">
            <v>57.738803701525164</v>
          </cell>
        </row>
        <row r="17">
          <cell r="E17">
            <v>295.142301624754</v>
          </cell>
        </row>
        <row r="18">
          <cell r="E18">
            <v>1035.2974680283239</v>
          </cell>
        </row>
        <row r="19">
          <cell r="E19">
            <v>765.72543437778063</v>
          </cell>
        </row>
        <row r="20">
          <cell r="E20">
            <v>196.81258552499204</v>
          </cell>
        </row>
        <row r="21">
          <cell r="E21">
            <v>1376.7258732990715</v>
          </cell>
        </row>
        <row r="22">
          <cell r="E22">
            <v>6133.4072735742857</v>
          </cell>
        </row>
        <row r="23">
          <cell r="E23">
            <v>8751.1197559248485</v>
          </cell>
        </row>
        <row r="24">
          <cell r="E24">
            <v>1552.1064993269877</v>
          </cell>
        </row>
        <row r="25">
          <cell r="E25">
            <v>68.781686582700416</v>
          </cell>
        </row>
        <row r="28">
          <cell r="E28">
            <v>41177.040218164999</v>
          </cell>
        </row>
        <row r="29">
          <cell r="E29">
            <v>73754.18162422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tabSelected="1" zoomScale="90" zoomScaleNormal="90" workbookViewId="0">
      <pane xSplit="2" ySplit="3" topLeftCell="K16" activePane="bottomRight" state="frozen"/>
      <selection pane="topRight" activeCell="C1" sqref="C1"/>
      <selection pane="bottomLeft" activeCell="A4" sqref="A4"/>
      <selection pane="bottomRight" activeCell="C17" sqref="C17:AC34"/>
    </sheetView>
  </sheetViews>
  <sheetFormatPr defaultRowHeight="15" x14ac:dyDescent="0.25"/>
  <cols>
    <col min="1" max="1" width="18.140625" bestFit="1" customWidth="1"/>
    <col min="2" max="2" width="22.140625" bestFit="1" customWidth="1"/>
    <col min="3" max="3" width="10" customWidth="1"/>
    <col min="4" max="4" width="8.28515625" customWidth="1"/>
    <col min="5" max="5" width="11.140625" bestFit="1" customWidth="1"/>
    <col min="6" max="6" width="11.140625" customWidth="1"/>
    <col min="7" max="7" width="6.7109375" customWidth="1"/>
    <col min="8" max="8" width="8" customWidth="1"/>
    <col min="9" max="9" width="9" customWidth="1"/>
    <col min="10" max="10" width="7.42578125" customWidth="1"/>
    <col min="11" max="15" width="9.28515625" bestFit="1" customWidth="1"/>
    <col min="16" max="16" width="11.140625" bestFit="1" customWidth="1"/>
    <col min="17" max="17" width="11.140625" customWidth="1"/>
    <col min="18" max="25" width="9.28515625" bestFit="1" customWidth="1"/>
    <col min="26" max="26" width="12.7109375" bestFit="1" customWidth="1"/>
    <col min="27" max="27" width="12.28515625" bestFit="1" customWidth="1"/>
    <col min="29" max="29" width="15.140625" customWidth="1"/>
    <col min="30" max="31" width="12.140625" bestFit="1" customWidth="1"/>
  </cols>
  <sheetData>
    <row r="1" spans="1:30" x14ac:dyDescent="0.25">
      <c r="B1" s="42"/>
    </row>
    <row r="2" spans="1:30" x14ac:dyDescent="0.25">
      <c r="A2" s="71" t="s">
        <v>70</v>
      </c>
      <c r="B2" s="72"/>
      <c r="C2" s="63" t="s">
        <v>0</v>
      </c>
      <c r="D2" s="63"/>
      <c r="E2" s="64" t="s">
        <v>1</v>
      </c>
      <c r="F2" s="65"/>
      <c r="G2" s="65"/>
      <c r="H2" s="65"/>
      <c r="I2" s="65"/>
      <c r="J2" s="66"/>
      <c r="K2" s="67" t="s">
        <v>2</v>
      </c>
      <c r="L2" s="68"/>
      <c r="M2" s="68"/>
      <c r="N2" s="69"/>
      <c r="O2" s="2"/>
      <c r="P2" s="3" t="s">
        <v>3</v>
      </c>
      <c r="Q2" s="58"/>
      <c r="R2" s="2"/>
      <c r="S2" s="2"/>
      <c r="T2" s="2"/>
      <c r="U2" s="2"/>
      <c r="V2" s="2"/>
      <c r="W2" s="2"/>
      <c r="X2" s="4"/>
      <c r="Y2" s="2"/>
      <c r="Z2" s="5"/>
      <c r="AA2" s="6"/>
      <c r="AB2" s="6"/>
      <c r="AC2" s="6"/>
    </row>
    <row r="3" spans="1:30" ht="50.45" customHeight="1" x14ac:dyDescent="0.25">
      <c r="A3" s="73"/>
      <c r="B3" s="74"/>
      <c r="C3" s="44" t="s">
        <v>59</v>
      </c>
      <c r="D3" s="45" t="s">
        <v>4</v>
      </c>
      <c r="E3" s="46" t="s">
        <v>60</v>
      </c>
      <c r="F3" s="46" t="s">
        <v>61</v>
      </c>
      <c r="G3" s="46" t="s">
        <v>62</v>
      </c>
      <c r="H3" s="46" t="s">
        <v>63</v>
      </c>
      <c r="I3" s="46" t="s">
        <v>64</v>
      </c>
      <c r="J3" s="46" t="s">
        <v>5</v>
      </c>
      <c r="K3" s="47" t="s">
        <v>6</v>
      </c>
      <c r="L3" s="47" t="s">
        <v>7</v>
      </c>
      <c r="M3" s="47" t="s">
        <v>8</v>
      </c>
      <c r="N3" s="47" t="s">
        <v>9</v>
      </c>
      <c r="O3" s="45" t="s">
        <v>10</v>
      </c>
      <c r="P3" s="48" t="s">
        <v>11</v>
      </c>
      <c r="Q3" s="48" t="s">
        <v>69</v>
      </c>
      <c r="R3" s="45" t="s">
        <v>12</v>
      </c>
      <c r="S3" s="45" t="s">
        <v>13</v>
      </c>
      <c r="T3" s="47" t="s">
        <v>14</v>
      </c>
      <c r="U3" s="47" t="s">
        <v>15</v>
      </c>
      <c r="V3" s="47" t="s">
        <v>16</v>
      </c>
      <c r="W3" s="47" t="s">
        <v>17</v>
      </c>
      <c r="X3" s="47" t="s">
        <v>18</v>
      </c>
      <c r="Y3" s="47" t="s">
        <v>19</v>
      </c>
      <c r="Z3" s="50" t="s">
        <v>20</v>
      </c>
      <c r="AA3" s="49" t="s">
        <v>21</v>
      </c>
      <c r="AB3" s="49" t="s">
        <v>22</v>
      </c>
      <c r="AC3" s="50" t="s">
        <v>23</v>
      </c>
    </row>
    <row r="4" spans="1:30" x14ac:dyDescent="0.25">
      <c r="A4" s="6"/>
      <c r="B4" s="8" t="s">
        <v>66</v>
      </c>
      <c r="C4" s="51">
        <v>2</v>
      </c>
      <c r="D4" s="52">
        <v>1</v>
      </c>
      <c r="E4" s="53">
        <v>3</v>
      </c>
      <c r="F4" s="54">
        <v>4</v>
      </c>
      <c r="G4" s="54">
        <v>5</v>
      </c>
      <c r="H4" s="54">
        <v>6</v>
      </c>
      <c r="I4" s="54">
        <v>7</v>
      </c>
      <c r="J4" s="54">
        <v>8</v>
      </c>
      <c r="K4" s="55">
        <v>9</v>
      </c>
      <c r="L4" s="55">
        <v>10</v>
      </c>
      <c r="M4" s="8">
        <v>11</v>
      </c>
      <c r="N4" s="8">
        <v>12</v>
      </c>
      <c r="O4" s="8">
        <v>14</v>
      </c>
      <c r="P4" s="12">
        <v>13</v>
      </c>
      <c r="Q4" s="12">
        <v>31.1</v>
      </c>
      <c r="R4" s="8">
        <v>15</v>
      </c>
      <c r="S4" s="8">
        <v>16</v>
      </c>
      <c r="T4" s="8">
        <v>17</v>
      </c>
      <c r="U4" s="8">
        <v>18</v>
      </c>
      <c r="V4" s="8">
        <v>19</v>
      </c>
      <c r="W4" s="8">
        <v>20</v>
      </c>
      <c r="X4" s="56" t="s">
        <v>67</v>
      </c>
      <c r="Y4" s="8">
        <v>23</v>
      </c>
      <c r="Z4" s="11"/>
      <c r="AA4" s="11"/>
      <c r="AB4" s="11"/>
      <c r="AC4" s="11"/>
    </row>
    <row r="5" spans="1:30" ht="14.45" x14ac:dyDescent="0.3">
      <c r="A5" s="8" t="s">
        <v>24</v>
      </c>
      <c r="B5" s="5"/>
      <c r="C5" s="7"/>
      <c r="D5" s="8"/>
      <c r="E5" s="9"/>
      <c r="F5" s="9"/>
      <c r="G5" s="9"/>
      <c r="H5" s="9"/>
      <c r="I5" s="9"/>
      <c r="J5" s="9"/>
      <c r="K5" s="10"/>
      <c r="L5" s="10"/>
      <c r="M5" s="10"/>
      <c r="N5" s="10"/>
      <c r="O5" s="8"/>
      <c r="P5" s="1"/>
      <c r="Q5" s="1"/>
      <c r="R5" s="12"/>
      <c r="S5" s="8"/>
      <c r="T5" s="10"/>
      <c r="U5" s="10"/>
      <c r="V5" s="10"/>
      <c r="W5" s="10"/>
      <c r="X5" s="10"/>
      <c r="Y5" s="10"/>
      <c r="Z5" s="11"/>
      <c r="AA5" s="11"/>
      <c r="AB5" s="11"/>
      <c r="AC5" s="11"/>
    </row>
    <row r="6" spans="1:30" x14ac:dyDescent="0.25">
      <c r="A6" s="70" t="s">
        <v>25</v>
      </c>
      <c r="B6" s="13" t="s">
        <v>26</v>
      </c>
      <c r="C6" s="27">
        <f>+[1]Sheet1!$M$10+[1]Sheet1!$N$10</f>
        <v>21902.843749999996</v>
      </c>
      <c r="D6" s="28">
        <f>+[2]Data!$AT$13</f>
        <v>46271.245614976768</v>
      </c>
      <c r="E6" s="28">
        <f>+[3]sum!$D$3</f>
        <v>25445.21753726829</v>
      </c>
      <c r="F6" s="28">
        <f>+[3]sum!$E$3</f>
        <v>2600.8975999999998</v>
      </c>
      <c r="G6" s="28">
        <f>+[3]sum!$G$3</f>
        <v>46.579999999999991</v>
      </c>
      <c r="H6" s="28">
        <f>+[3]sum!$F$3</f>
        <v>580.00629723862232</v>
      </c>
      <c r="I6" s="28">
        <f>+[3]sum!$H$3</f>
        <v>467.572</v>
      </c>
      <c r="J6" s="28"/>
      <c r="K6" s="28"/>
      <c r="L6" s="28"/>
      <c r="M6" s="28"/>
      <c r="N6" s="28"/>
      <c r="O6" s="28">
        <f>[4]BPC!$G$7</f>
        <v>743.09100000000001</v>
      </c>
      <c r="P6" s="28">
        <f>+'[5]Corrected sales'!$C$15</f>
        <v>56.521382125220384</v>
      </c>
      <c r="Q6" s="29"/>
      <c r="R6" s="29"/>
      <c r="S6" s="28"/>
      <c r="T6" s="28"/>
      <c r="U6" s="28"/>
      <c r="V6" s="28"/>
      <c r="W6" s="28"/>
      <c r="X6" s="28"/>
      <c r="Y6" s="28"/>
      <c r="Z6" s="30">
        <f>SUM(C6:Y6)</f>
        <v>98113.975181608912</v>
      </c>
      <c r="AA6" s="28"/>
      <c r="AB6" s="28"/>
      <c r="AC6" s="28">
        <f>+Z6+AA6+AB6</f>
        <v>98113.975181608912</v>
      </c>
    </row>
    <row r="7" spans="1:30" ht="24.75" x14ac:dyDescent="0.25">
      <c r="A7" s="70"/>
      <c r="B7" s="14" t="s">
        <v>27</v>
      </c>
      <c r="C7" s="27"/>
      <c r="D7" s="28"/>
      <c r="E7" s="28">
        <f>+[3]sum!$D$4</f>
        <v>2000.39</v>
      </c>
      <c r="F7" s="28">
        <f>+[3]sum!$E$4</f>
        <v>0</v>
      </c>
      <c r="G7" s="28">
        <f>+[3]sum!$G$4</f>
        <v>0</v>
      </c>
      <c r="H7" s="28">
        <f>+[3]sum!$F$4</f>
        <v>0</v>
      </c>
      <c r="I7" s="28">
        <f>+[3]sum!$H$4</f>
        <v>0</v>
      </c>
      <c r="J7" s="28"/>
      <c r="K7" s="28"/>
      <c r="L7" s="28"/>
      <c r="M7" s="28"/>
      <c r="N7" s="28"/>
      <c r="O7" s="28"/>
      <c r="P7" s="28">
        <f>+'[6]Aggregate prodn by MC '!$B$20-P6-'[7]Imports and export(2012-2015)'!$O$8-P17</f>
        <v>87735.635975361452</v>
      </c>
      <c r="Q7" s="29"/>
      <c r="R7" s="29"/>
      <c r="S7" s="28"/>
      <c r="T7" s="28"/>
      <c r="U7" s="28"/>
      <c r="V7" s="28"/>
      <c r="W7" s="28"/>
      <c r="X7" s="28"/>
      <c r="Y7" s="28"/>
      <c r="Z7" s="30">
        <f>SUM(C7:Y7)</f>
        <v>89736.025975361452</v>
      </c>
      <c r="AA7" s="28"/>
      <c r="AB7" s="28"/>
      <c r="AC7" s="28">
        <f>+Z7+AA7+AB7</f>
        <v>89736.025975361452</v>
      </c>
    </row>
    <row r="8" spans="1:30" x14ac:dyDescent="0.25">
      <c r="A8" s="70"/>
      <c r="B8" s="15" t="s">
        <v>28</v>
      </c>
      <c r="C8" s="31">
        <f>+C6+C7</f>
        <v>21902.843749999996</v>
      </c>
      <c r="D8" s="31">
        <f t="shared" ref="D8:Y8" si="0">+D6+D7</f>
        <v>46271.245614976768</v>
      </c>
      <c r="E8" s="31">
        <f t="shared" si="0"/>
        <v>27445.60753726829</v>
      </c>
      <c r="F8" s="31">
        <f t="shared" si="0"/>
        <v>2600.8975999999998</v>
      </c>
      <c r="G8" s="31">
        <f t="shared" si="0"/>
        <v>46.579999999999991</v>
      </c>
      <c r="H8" s="31">
        <f t="shared" si="0"/>
        <v>580.00629723862232</v>
      </c>
      <c r="I8" s="31">
        <f t="shared" si="0"/>
        <v>467.572</v>
      </c>
      <c r="J8" s="31">
        <f t="shared" si="0"/>
        <v>0</v>
      </c>
      <c r="K8" s="31">
        <f t="shared" si="0"/>
        <v>0</v>
      </c>
      <c r="L8" s="31">
        <f t="shared" si="0"/>
        <v>0</v>
      </c>
      <c r="M8" s="31">
        <f t="shared" si="0"/>
        <v>0</v>
      </c>
      <c r="N8" s="31">
        <f t="shared" si="0"/>
        <v>0</v>
      </c>
      <c r="O8" s="31">
        <f t="shared" si="0"/>
        <v>743.09100000000001</v>
      </c>
      <c r="P8" s="31">
        <f t="shared" si="0"/>
        <v>87792.157357486678</v>
      </c>
      <c r="Q8" s="31"/>
      <c r="R8" s="31">
        <f t="shared" si="0"/>
        <v>0</v>
      </c>
      <c r="S8" s="31">
        <f t="shared" si="0"/>
        <v>0</v>
      </c>
      <c r="T8" s="31">
        <f t="shared" si="0"/>
        <v>0</v>
      </c>
      <c r="U8" s="31">
        <f t="shared" si="0"/>
        <v>0</v>
      </c>
      <c r="V8" s="31">
        <f t="shared" si="0"/>
        <v>0</v>
      </c>
      <c r="W8" s="31">
        <f t="shared" si="0"/>
        <v>0</v>
      </c>
      <c r="X8" s="31">
        <f t="shared" si="0"/>
        <v>0</v>
      </c>
      <c r="Y8" s="31">
        <f t="shared" si="0"/>
        <v>0</v>
      </c>
      <c r="Z8" s="30">
        <f t="shared" ref="Z8" si="1">+Z6+Z7</f>
        <v>187850.00115697036</v>
      </c>
      <c r="AA8" s="30"/>
      <c r="AB8" s="30">
        <f>SUM(AB6:AB7)</f>
        <v>0</v>
      </c>
      <c r="AC8" s="30">
        <f>SUM(AC6:AC7)</f>
        <v>187850.00115697036</v>
      </c>
    </row>
    <row r="9" spans="1:30" x14ac:dyDescent="0.25">
      <c r="A9" s="70"/>
      <c r="B9" s="16"/>
      <c r="C9" s="27"/>
      <c r="D9" s="28"/>
      <c r="E9" s="28"/>
      <c r="F9" s="28"/>
      <c r="G9" s="28"/>
      <c r="H9" s="28"/>
      <c r="I9" s="28"/>
      <c r="J9" s="28"/>
      <c r="K9" s="28"/>
      <c r="L9" s="28"/>
      <c r="M9" s="28"/>
      <c r="N9" s="28"/>
      <c r="O9" s="28"/>
      <c r="P9" s="28"/>
      <c r="Q9" s="29"/>
      <c r="R9" s="29"/>
      <c r="S9" s="28"/>
      <c r="T9" s="28"/>
      <c r="U9" s="28"/>
      <c r="V9" s="28"/>
      <c r="W9" s="28"/>
      <c r="X9" s="28"/>
      <c r="Y9" s="28"/>
      <c r="Z9" s="30"/>
      <c r="AA9" s="28"/>
      <c r="AB9" s="28"/>
      <c r="AC9" s="28"/>
    </row>
    <row r="10" spans="1:30" x14ac:dyDescent="0.25">
      <c r="A10" s="70"/>
      <c r="B10" s="16" t="s">
        <v>29</v>
      </c>
      <c r="C10" s="27"/>
      <c r="D10" s="28"/>
      <c r="E10" s="28">
        <f>+[3]sum!$D$7</f>
        <v>2987.4490690000002</v>
      </c>
      <c r="F10" s="28">
        <f>+[3]sum!$E$7</f>
        <v>2.0399999999999995E-2</v>
      </c>
      <c r="G10" s="28">
        <f>+[3]sum!$G$7</f>
        <v>1.23</v>
      </c>
      <c r="H10" s="28">
        <f>+[3]sum!$F$7</f>
        <v>0</v>
      </c>
      <c r="I10" s="28">
        <f>+[3]sum!$H$7</f>
        <v>0</v>
      </c>
      <c r="J10" s="28"/>
      <c r="K10" s="28"/>
      <c r="L10" s="28"/>
      <c r="M10" s="28"/>
      <c r="N10" s="28"/>
      <c r="O10" s="28"/>
      <c r="P10" s="30">
        <f>+P8*0.57</f>
        <v>50041.529693767399</v>
      </c>
      <c r="Q10" s="33"/>
      <c r="R10" s="29"/>
      <c r="S10" s="28"/>
      <c r="T10" s="28"/>
      <c r="U10" s="28"/>
      <c r="V10" s="28"/>
      <c r="W10" s="28"/>
      <c r="X10" s="28"/>
      <c r="Y10" s="28"/>
      <c r="Z10" s="30">
        <f t="shared" ref="Z10:Z15" si="2">SUM(C10:Y10)</f>
        <v>53030.229162767399</v>
      </c>
      <c r="AA10" s="28"/>
      <c r="AB10" s="28">
        <f>+AB7</f>
        <v>0</v>
      </c>
      <c r="AC10" s="28">
        <f>+Z10+AA10+AB10</f>
        <v>53030.229162767399</v>
      </c>
    </row>
    <row r="11" spans="1:30" x14ac:dyDescent="0.25">
      <c r="A11" s="70"/>
      <c r="B11" s="16" t="s">
        <v>30</v>
      </c>
      <c r="C11" s="27">
        <f>+[1]Sheet1!$M$10</f>
        <v>8287.5624999999982</v>
      </c>
      <c r="D11" s="28">
        <f>+D6*0.75</f>
        <v>34703.434211232576</v>
      </c>
      <c r="E11" s="28">
        <f>+[3]sum!$D$8</f>
        <v>24458.158468268288</v>
      </c>
      <c r="F11" s="28">
        <f>+[3]sum!$E$8</f>
        <v>2600.8771999999999</v>
      </c>
      <c r="G11" s="28">
        <f>+[3]sum!$G$8</f>
        <v>45.349999999999994</v>
      </c>
      <c r="H11" s="28">
        <f>+[3]sum!$F$8</f>
        <v>580.00629723862232</v>
      </c>
      <c r="I11" s="28">
        <f>+[3]sum!$H$8</f>
        <v>467.572</v>
      </c>
      <c r="J11" s="28"/>
      <c r="K11" s="28"/>
      <c r="L11" s="28"/>
      <c r="M11" s="28"/>
      <c r="N11" s="28"/>
      <c r="O11" s="28">
        <f>[4]BPC!$G$6</f>
        <v>743.09100000000001</v>
      </c>
      <c r="P11" s="30">
        <f>+P8*0.42</f>
        <v>36872.706090144406</v>
      </c>
      <c r="Q11" s="33"/>
      <c r="R11" s="29"/>
      <c r="S11" s="28"/>
      <c r="T11" s="28"/>
      <c r="U11" s="28"/>
      <c r="V11" s="28"/>
      <c r="W11" s="28"/>
      <c r="X11" s="28"/>
      <c r="Y11" s="28"/>
      <c r="Z11" s="30">
        <f t="shared" si="2"/>
        <v>108758.75776688391</v>
      </c>
      <c r="AA11" s="28"/>
      <c r="AB11" s="28"/>
      <c r="AC11" s="28">
        <f t="shared" ref="AC11:AC15" si="3">+Z11+AA11+AB11</f>
        <v>108758.75776688391</v>
      </c>
    </row>
    <row r="12" spans="1:30" x14ac:dyDescent="0.25">
      <c r="A12" s="70"/>
      <c r="B12" s="16" t="s">
        <v>31</v>
      </c>
      <c r="C12" s="27"/>
      <c r="D12" s="28"/>
      <c r="E12" s="28">
        <f>+[3]sum!$D$9</f>
        <v>0</v>
      </c>
      <c r="F12" s="28"/>
      <c r="G12" s="32"/>
      <c r="H12" s="28"/>
      <c r="I12" s="28"/>
      <c r="J12" s="28"/>
      <c r="K12" s="28"/>
      <c r="L12" s="28"/>
      <c r="M12" s="28"/>
      <c r="N12" s="28"/>
      <c r="O12" s="28"/>
      <c r="P12" s="30">
        <f>+P8*0.01</f>
        <v>877.92157357486678</v>
      </c>
      <c r="Q12" s="33"/>
      <c r="R12" s="29"/>
      <c r="S12" s="28"/>
      <c r="T12" s="28"/>
      <c r="U12" s="28"/>
      <c r="V12" s="28"/>
      <c r="W12" s="28"/>
      <c r="X12" s="28"/>
      <c r="Y12" s="28"/>
      <c r="Z12" s="30">
        <f t="shared" si="2"/>
        <v>877.92157357486678</v>
      </c>
      <c r="AA12" s="28"/>
      <c r="AB12" s="28"/>
      <c r="AC12" s="28">
        <f t="shared" si="3"/>
        <v>877.92157357486678</v>
      </c>
    </row>
    <row r="13" spans="1:30" x14ac:dyDescent="0.25">
      <c r="A13" s="70"/>
      <c r="B13" s="16" t="s">
        <v>32</v>
      </c>
      <c r="C13" s="27"/>
      <c r="D13" s="28"/>
      <c r="E13" s="28"/>
      <c r="F13" s="28"/>
      <c r="G13" s="28"/>
      <c r="H13" s="28"/>
      <c r="I13" s="28"/>
      <c r="J13" s="28"/>
      <c r="K13" s="28"/>
      <c r="L13" s="28"/>
      <c r="M13" s="28"/>
      <c r="N13" s="28"/>
      <c r="O13" s="28"/>
      <c r="P13" s="30">
        <f ca="1">SUM(P10:P14)</f>
        <v>0</v>
      </c>
      <c r="Q13" s="33"/>
      <c r="R13" s="29"/>
      <c r="S13" s="28"/>
      <c r="T13" s="28"/>
      <c r="U13" s="28"/>
      <c r="V13" s="28"/>
      <c r="W13" s="28"/>
      <c r="X13" s="28"/>
      <c r="Y13" s="28"/>
      <c r="Z13" s="30">
        <f t="shared" ca="1" si="2"/>
        <v>0</v>
      </c>
      <c r="AA13" s="28"/>
      <c r="AB13" s="28"/>
      <c r="AC13" s="28">
        <f t="shared" ca="1" si="3"/>
        <v>0</v>
      </c>
    </row>
    <row r="14" spans="1:30" x14ac:dyDescent="0.25">
      <c r="A14" s="70"/>
      <c r="B14" s="16" t="s">
        <v>50</v>
      </c>
      <c r="C14" s="27">
        <f>+[1]Sheet1!$N$10</f>
        <v>13615.281249999998</v>
      </c>
      <c r="D14" s="28">
        <v>11567.8</v>
      </c>
      <c r="E14" s="28"/>
      <c r="F14" s="28"/>
      <c r="G14" s="28"/>
      <c r="H14" s="28"/>
      <c r="I14" s="28"/>
      <c r="J14" s="28"/>
      <c r="K14" s="28"/>
      <c r="L14" s="28"/>
      <c r="M14" s="28"/>
      <c r="N14" s="28"/>
      <c r="O14" s="28"/>
      <c r="P14" s="30"/>
      <c r="Q14" s="33"/>
      <c r="R14" s="29"/>
      <c r="S14" s="28"/>
      <c r="T14" s="28"/>
      <c r="U14" s="28"/>
      <c r="V14" s="28"/>
      <c r="W14" s="28"/>
      <c r="X14" s="28"/>
      <c r="Y14" s="28"/>
      <c r="Z14" s="30">
        <f t="shared" si="2"/>
        <v>25183.081249999996</v>
      </c>
      <c r="AA14" s="28"/>
      <c r="AB14" s="28"/>
      <c r="AC14" s="28">
        <f t="shared" si="3"/>
        <v>25183.081249999996</v>
      </c>
    </row>
    <row r="15" spans="1:30" ht="24.75" x14ac:dyDescent="0.25">
      <c r="A15" s="70"/>
      <c r="B15" s="17" t="s">
        <v>51</v>
      </c>
      <c r="C15" s="31">
        <f>SUM(C10:C14)</f>
        <v>21902.843749999996</v>
      </c>
      <c r="D15" s="31">
        <f t="shared" ref="D15:O15" si="4">SUM(D10:D14)</f>
        <v>46271.234211232571</v>
      </c>
      <c r="E15" s="31">
        <f t="shared" si="4"/>
        <v>27445.60753726829</v>
      </c>
      <c r="F15" s="31">
        <f t="shared" si="4"/>
        <v>2600.8975999999998</v>
      </c>
      <c r="G15" s="31">
        <f t="shared" si="4"/>
        <v>46.579999999999991</v>
      </c>
      <c r="H15" s="31">
        <f t="shared" si="4"/>
        <v>580.00629723862232</v>
      </c>
      <c r="I15" s="31">
        <f t="shared" si="4"/>
        <v>467.572</v>
      </c>
      <c r="J15" s="31">
        <f t="shared" si="4"/>
        <v>0</v>
      </c>
      <c r="K15" s="31">
        <f t="shared" si="4"/>
        <v>0</v>
      </c>
      <c r="L15" s="31">
        <f t="shared" si="4"/>
        <v>0</v>
      </c>
      <c r="M15" s="31">
        <f t="shared" si="4"/>
        <v>0</v>
      </c>
      <c r="N15" s="31">
        <f t="shared" si="4"/>
        <v>0</v>
      </c>
      <c r="O15" s="31">
        <f t="shared" si="4"/>
        <v>743.09100000000001</v>
      </c>
      <c r="P15" s="31">
        <f>SUM(P10:P12)</f>
        <v>87792.157357486678</v>
      </c>
      <c r="Q15" s="31"/>
      <c r="R15" s="30"/>
      <c r="S15" s="30"/>
      <c r="T15" s="30"/>
      <c r="U15" s="30"/>
      <c r="V15" s="30"/>
      <c r="W15" s="30"/>
      <c r="X15" s="30"/>
      <c r="Y15" s="30"/>
      <c r="Z15" s="30">
        <f t="shared" si="2"/>
        <v>187849.98975322617</v>
      </c>
      <c r="AA15" s="30"/>
      <c r="AB15" s="30">
        <f>SUM(AB10:AB13)</f>
        <v>0</v>
      </c>
      <c r="AC15" s="30">
        <f t="shared" si="3"/>
        <v>187849.98975322617</v>
      </c>
      <c r="AD15" s="26"/>
    </row>
    <row r="16" spans="1:30" ht="14.45" x14ac:dyDescent="0.3">
      <c r="A16" s="6"/>
      <c r="B16" s="18"/>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28"/>
      <c r="AC16" s="28"/>
    </row>
    <row r="17" spans="1:31" ht="24.6" x14ac:dyDescent="0.3">
      <c r="A17" s="8" t="s">
        <v>33</v>
      </c>
      <c r="B17" s="19" t="s">
        <v>34</v>
      </c>
      <c r="C17" s="75">
        <f>[8]Sheet1!$O$10+'[9]Corrected sales'!$E$4</f>
        <v>1826.6771055076358</v>
      </c>
      <c r="D17" s="76">
        <f>'[9]Corrected sales'!$E$3</f>
        <v>160.54482182428282</v>
      </c>
      <c r="E17" s="76">
        <f>'[9]Corrected sales'!$E$5</f>
        <v>238.62344337782059</v>
      </c>
      <c r="F17" s="76">
        <f>'[9]Corrected sales'!$E$6</f>
        <v>6864.8506563332903</v>
      </c>
      <c r="G17" s="76">
        <f>'[9]Corrected sales'!$E$7</f>
        <v>821.11729539523401</v>
      </c>
      <c r="H17" s="76">
        <f>'[9]Corrected sales'!$E$8</f>
        <v>337.50873636859143</v>
      </c>
      <c r="I17" s="76">
        <f>'[9]Corrected sales'!$E$9</f>
        <v>1578.1182713704793</v>
      </c>
      <c r="J17" s="76">
        <f>+'[9]Corrected sales'!$E$10</f>
        <v>51.212359576916654</v>
      </c>
      <c r="K17" s="76">
        <f>+'[9]Corrected sales'!$E$11</f>
        <v>952.50383651002608</v>
      </c>
      <c r="L17" s="76">
        <f>+'[9]Corrected sales'!$E$12</f>
        <v>174.48388690155397</v>
      </c>
      <c r="M17" s="76">
        <f>+'[9]Corrected sales'!$E$13</f>
        <v>1.0108119480903608</v>
      </c>
      <c r="N17" s="76">
        <f>+'[9]Corrected sales'!$E$14</f>
        <v>1008.9888954023734</v>
      </c>
      <c r="O17" s="76">
        <f>'[10]Corrected sales'!$E$16</f>
        <v>104.54985357343394</v>
      </c>
      <c r="P17" s="76">
        <f>+[3]sum!$D$16+[11]BPC!$G$10</f>
        <v>2053.5100000000002</v>
      </c>
      <c r="Q17" s="76"/>
      <c r="R17" s="76">
        <f>+'[9]Corrected sales'!$E$17</f>
        <v>295.142301624754</v>
      </c>
      <c r="S17" s="76">
        <f>+'[9]Corrected sales'!$E$18</f>
        <v>1035.2974680283239</v>
      </c>
      <c r="T17" s="76">
        <f>+'[9]Corrected sales'!$E$19</f>
        <v>765.72543437778063</v>
      </c>
      <c r="U17" s="76">
        <f>+'[9]Corrected sales'!$E$20</f>
        <v>196.81258552499204</v>
      </c>
      <c r="V17" s="76">
        <f>+'[9]Corrected sales'!$E$21</f>
        <v>1376.7258732990715</v>
      </c>
      <c r="W17" s="76">
        <f>+'[9]Corrected sales'!$E$22+[11]BPC!$G$11</f>
        <v>6153.0822735742859</v>
      </c>
      <c r="X17" s="76">
        <f>+'[9]Corrected sales'!$E$23+'[9]Corrected sales'!$E$24</f>
        <v>10303.226255251837</v>
      </c>
      <c r="Y17" s="76">
        <f>+'[9]Corrected sales'!$E$25</f>
        <v>68.781686582700416</v>
      </c>
      <c r="Z17" s="77">
        <f>SUM(C17:Y17)</f>
        <v>36368.493852353473</v>
      </c>
      <c r="AA17" s="76">
        <f>+'[9]Corrected sales'!$E$28</f>
        <v>41177.040218164999</v>
      </c>
      <c r="AB17" s="76">
        <v>0</v>
      </c>
      <c r="AC17" s="76">
        <f>+Z17+AA17+AB17</f>
        <v>77545.534070518479</v>
      </c>
      <c r="AD17" s="26"/>
    </row>
    <row r="18" spans="1:31" ht="14.45" x14ac:dyDescent="0.3">
      <c r="A18" s="6"/>
      <c r="B18" s="16"/>
      <c r="C18" s="75"/>
      <c r="D18" s="76"/>
      <c r="E18" s="76"/>
      <c r="F18" s="76"/>
      <c r="G18" s="76"/>
      <c r="H18" s="76"/>
      <c r="I18" s="76"/>
      <c r="J18" s="76"/>
      <c r="K18" s="76"/>
      <c r="L18" s="76"/>
      <c r="M18" s="76"/>
      <c r="N18" s="76"/>
      <c r="O18" s="76"/>
      <c r="P18" s="76"/>
      <c r="Q18" s="76"/>
      <c r="R18" s="76"/>
      <c r="S18" s="76"/>
      <c r="T18" s="76"/>
      <c r="U18" s="76"/>
      <c r="V18" s="76"/>
      <c r="W18" s="76"/>
      <c r="X18" s="76"/>
      <c r="Y18" s="76"/>
      <c r="Z18" s="77"/>
      <c r="AA18" s="76"/>
      <c r="AB18" s="76"/>
      <c r="AC18" s="76"/>
      <c r="AE18" s="60"/>
    </row>
    <row r="19" spans="1:31" ht="14.45" x14ac:dyDescent="0.3">
      <c r="A19" s="6"/>
      <c r="B19" s="17" t="s">
        <v>35</v>
      </c>
      <c r="C19" s="78">
        <f>+C8+C17</f>
        <v>23729.520855507631</v>
      </c>
      <c r="D19" s="77">
        <f t="shared" ref="D19:Z19" si="5">+D8+D17</f>
        <v>46431.79043680105</v>
      </c>
      <c r="E19" s="77">
        <f t="shared" si="5"/>
        <v>27684.230980646109</v>
      </c>
      <c r="F19" s="77">
        <f t="shared" si="5"/>
        <v>9465.7482563332906</v>
      </c>
      <c r="G19" s="77">
        <f t="shared" si="5"/>
        <v>867.69729539523405</v>
      </c>
      <c r="H19" s="77">
        <f t="shared" si="5"/>
        <v>917.51503360721381</v>
      </c>
      <c r="I19" s="77">
        <f t="shared" si="5"/>
        <v>2045.6902713704794</v>
      </c>
      <c r="J19" s="77">
        <f t="shared" si="5"/>
        <v>51.212359576916654</v>
      </c>
      <c r="K19" s="77">
        <f t="shared" si="5"/>
        <v>952.50383651002608</v>
      </c>
      <c r="L19" s="77">
        <f t="shared" si="5"/>
        <v>174.48388690155397</v>
      </c>
      <c r="M19" s="77">
        <f t="shared" si="5"/>
        <v>1.0108119480903608</v>
      </c>
      <c r="N19" s="77">
        <f t="shared" si="5"/>
        <v>1008.9888954023734</v>
      </c>
      <c r="O19" s="77">
        <f t="shared" si="5"/>
        <v>847.6408535734339</v>
      </c>
      <c r="P19" s="77">
        <f t="shared" si="5"/>
        <v>89845.667357486673</v>
      </c>
      <c r="Q19" s="77"/>
      <c r="R19" s="77">
        <f t="shared" si="5"/>
        <v>295.142301624754</v>
      </c>
      <c r="S19" s="77">
        <f t="shared" si="5"/>
        <v>1035.2974680283239</v>
      </c>
      <c r="T19" s="77">
        <f t="shared" si="5"/>
        <v>765.72543437778063</v>
      </c>
      <c r="U19" s="77">
        <f t="shared" si="5"/>
        <v>196.81258552499204</v>
      </c>
      <c r="V19" s="77">
        <f t="shared" si="5"/>
        <v>1376.7258732990715</v>
      </c>
      <c r="W19" s="77">
        <f t="shared" si="5"/>
        <v>6153.0822735742859</v>
      </c>
      <c r="X19" s="77">
        <f t="shared" si="5"/>
        <v>10303.226255251837</v>
      </c>
      <c r="Y19" s="77">
        <f t="shared" si="5"/>
        <v>68.781686582700416</v>
      </c>
      <c r="Z19" s="77">
        <f t="shared" si="5"/>
        <v>224218.49500932384</v>
      </c>
      <c r="AA19" s="77">
        <f>+AA8+AA17</f>
        <v>41177.040218164999</v>
      </c>
      <c r="AB19" s="77">
        <f>+AB8+AB17</f>
        <v>0</v>
      </c>
      <c r="AC19" s="77">
        <f>SUM(Z19:AB19)</f>
        <v>265395.53522748884</v>
      </c>
    </row>
    <row r="20" spans="1:31" ht="14.45" x14ac:dyDescent="0.3">
      <c r="A20" s="6"/>
      <c r="B20" s="17"/>
      <c r="C20" s="79"/>
      <c r="D20" s="79"/>
      <c r="E20" s="79"/>
      <c r="F20" s="79"/>
      <c r="G20" s="79"/>
      <c r="H20" s="79"/>
      <c r="I20" s="79"/>
      <c r="J20" s="79"/>
      <c r="K20" s="79"/>
      <c r="L20" s="79"/>
      <c r="M20" s="79"/>
      <c r="N20" s="79"/>
      <c r="O20" s="79"/>
      <c r="P20" s="79"/>
      <c r="Q20" s="79"/>
      <c r="R20" s="79"/>
      <c r="S20" s="77"/>
      <c r="T20" s="77"/>
      <c r="U20" s="77"/>
      <c r="V20" s="77"/>
      <c r="W20" s="77"/>
      <c r="X20" s="77"/>
      <c r="Y20" s="77"/>
      <c r="Z20" s="77"/>
      <c r="AA20" s="77"/>
      <c r="AB20" s="77"/>
      <c r="AC20" s="77"/>
    </row>
    <row r="21" spans="1:31" ht="14.45" x14ac:dyDescent="0.3">
      <c r="A21" s="5" t="s">
        <v>36</v>
      </c>
      <c r="B21" s="6"/>
      <c r="C21" s="80"/>
      <c r="D21" s="80"/>
      <c r="E21" s="80"/>
      <c r="F21" s="80"/>
      <c r="G21" s="80"/>
      <c r="H21" s="80"/>
      <c r="I21" s="80"/>
      <c r="J21" s="80"/>
      <c r="K21" s="80"/>
      <c r="L21" s="80"/>
      <c r="M21" s="80"/>
      <c r="N21" s="80"/>
      <c r="O21" s="80"/>
      <c r="P21" s="80"/>
      <c r="Q21" s="80"/>
      <c r="R21" s="80"/>
      <c r="S21" s="76"/>
      <c r="T21" s="76"/>
      <c r="U21" s="76"/>
      <c r="V21" s="76"/>
      <c r="W21" s="76"/>
      <c r="X21" s="76"/>
      <c r="Y21" s="76"/>
      <c r="Z21" s="77"/>
      <c r="AA21" s="76"/>
      <c r="AB21" s="76"/>
      <c r="AC21" s="76"/>
    </row>
    <row r="22" spans="1:31" ht="24.6" x14ac:dyDescent="0.3">
      <c r="A22" s="5" t="s">
        <v>33</v>
      </c>
      <c r="B22" s="20" t="s">
        <v>37</v>
      </c>
      <c r="C22" s="75"/>
      <c r="D22" s="76"/>
      <c r="E22" s="76">
        <f>+E7</f>
        <v>2000.39</v>
      </c>
      <c r="F22" s="76"/>
      <c r="G22" s="76"/>
      <c r="H22" s="76"/>
      <c r="I22" s="76"/>
      <c r="J22" s="76"/>
      <c r="K22" s="76"/>
      <c r="L22" s="76"/>
      <c r="M22" s="76"/>
      <c r="N22" s="76"/>
      <c r="O22" s="76">
        <f>+[11]BPC!$G$10+[11]BPC!$G$11</f>
        <v>72.795000000000002</v>
      </c>
      <c r="P22" s="76">
        <f>'[9]Corrected sales'!$E$29-'[9]Corrected sales'!$E$15-'[12]Imports and export(2012-2015)'!$O$8</f>
        <v>66653.739820518487</v>
      </c>
      <c r="Q22" s="76">
        <f>Q23+Q24</f>
        <v>1775.9059999999999</v>
      </c>
      <c r="R22" s="76"/>
      <c r="S22" s="76"/>
      <c r="T22" s="76"/>
      <c r="U22" s="76"/>
      <c r="V22" s="76"/>
      <c r="W22" s="76"/>
      <c r="X22" s="76"/>
      <c r="Y22" s="76"/>
      <c r="Z22" s="77">
        <f>SUM(C22:Y22)</f>
        <v>70502.830820518488</v>
      </c>
      <c r="AA22" s="80"/>
      <c r="AB22" s="76">
        <f>+'[7]Imports and export(2012-2015)'!$O$8</f>
        <v>7042.7030000000004</v>
      </c>
      <c r="AC22" s="76">
        <f>+Z22+R22+AB22</f>
        <v>77545.533820518482</v>
      </c>
    </row>
    <row r="23" spans="1:31" ht="14.45" x14ac:dyDescent="0.3">
      <c r="A23" s="5"/>
      <c r="B23" s="21" t="s">
        <v>38</v>
      </c>
      <c r="C23" s="75"/>
      <c r="D23" s="76"/>
      <c r="E23" s="76"/>
      <c r="F23" s="76"/>
      <c r="G23" s="76"/>
      <c r="H23" s="76"/>
      <c r="I23" s="76"/>
      <c r="J23" s="76"/>
      <c r="K23" s="76"/>
      <c r="L23" s="76"/>
      <c r="M23" s="76"/>
      <c r="N23" s="76"/>
      <c r="O23" s="76"/>
      <c r="P23" s="76"/>
      <c r="Q23" s="81">
        <f>C37/1000</f>
        <v>1775.9059999999999</v>
      </c>
      <c r="R23" s="81"/>
      <c r="S23" s="76"/>
      <c r="T23" s="76"/>
      <c r="U23" s="76"/>
      <c r="V23" s="76"/>
      <c r="W23" s="76"/>
      <c r="X23" s="76"/>
      <c r="Y23" s="76"/>
      <c r="Z23" s="77"/>
      <c r="AA23" s="76"/>
      <c r="AB23" s="76"/>
      <c r="AC23" s="76"/>
    </row>
    <row r="24" spans="1:31" ht="14.45" x14ac:dyDescent="0.3">
      <c r="A24" s="5"/>
      <c r="B24" s="57" t="s">
        <v>39</v>
      </c>
      <c r="C24" s="75"/>
      <c r="D24" s="76"/>
      <c r="E24" s="76"/>
      <c r="F24" s="76"/>
      <c r="G24" s="76"/>
      <c r="H24" s="76"/>
      <c r="I24" s="76"/>
      <c r="J24" s="76"/>
      <c r="K24" s="76"/>
      <c r="L24" s="76"/>
      <c r="M24" s="76"/>
      <c r="N24" s="76"/>
      <c r="O24" s="76"/>
      <c r="P24" s="76"/>
      <c r="Q24" s="81"/>
      <c r="R24" s="81"/>
      <c r="S24" s="76"/>
      <c r="T24" s="76"/>
      <c r="U24" s="76"/>
      <c r="V24" s="76"/>
      <c r="W24" s="76"/>
      <c r="X24" s="76"/>
      <c r="Y24" s="76"/>
      <c r="Z24" s="77"/>
      <c r="AA24" s="76"/>
      <c r="AB24" s="76"/>
      <c r="AC24" s="76"/>
    </row>
    <row r="25" spans="1:31" ht="14.45" x14ac:dyDescent="0.3">
      <c r="A25" s="6"/>
      <c r="B25" s="22"/>
      <c r="C25" s="75"/>
      <c r="D25" s="76"/>
      <c r="E25" s="76"/>
      <c r="F25" s="76"/>
      <c r="G25" s="76"/>
      <c r="H25" s="76"/>
      <c r="I25" s="76"/>
      <c r="J25" s="76"/>
      <c r="K25" s="76"/>
      <c r="L25" s="76"/>
      <c r="M25" s="76"/>
      <c r="N25" s="76"/>
      <c r="O25" s="76"/>
      <c r="P25" s="76"/>
      <c r="Q25" s="81"/>
      <c r="R25" s="81"/>
      <c r="S25" s="76"/>
      <c r="T25" s="76"/>
      <c r="U25" s="76"/>
      <c r="V25" s="76"/>
      <c r="W25" s="76"/>
      <c r="X25" s="76"/>
      <c r="Y25" s="76"/>
      <c r="Z25" s="77"/>
      <c r="AA25" s="76"/>
      <c r="AB25" s="76"/>
      <c r="AC25" s="76"/>
    </row>
    <row r="26" spans="1:31" ht="14.45" x14ac:dyDescent="0.3">
      <c r="A26" s="5" t="s">
        <v>40</v>
      </c>
      <c r="B26" s="20" t="s">
        <v>41</v>
      </c>
      <c r="C26" s="75"/>
      <c r="D26" s="76"/>
      <c r="E26" s="76"/>
      <c r="F26" s="76"/>
      <c r="G26" s="76"/>
      <c r="H26" s="76"/>
      <c r="I26" s="76"/>
      <c r="J26" s="76"/>
      <c r="K26" s="76"/>
      <c r="L26" s="76"/>
      <c r="M26" s="76"/>
      <c r="N26" s="76"/>
      <c r="O26" s="76"/>
      <c r="P26" s="76">
        <f>SUM(P28:P31)</f>
        <v>21081.896154842965</v>
      </c>
      <c r="Q26" s="81"/>
      <c r="R26" s="81"/>
      <c r="S26" s="76"/>
      <c r="T26" s="76"/>
      <c r="U26" s="76"/>
      <c r="V26" s="76"/>
      <c r="W26" s="76"/>
      <c r="X26" s="76"/>
      <c r="Y26" s="76"/>
      <c r="Z26" s="77">
        <f>SUM(C26:Y26)</f>
        <v>21081.896154842965</v>
      </c>
      <c r="AA26" s="76"/>
      <c r="AB26" s="76"/>
      <c r="AC26" s="76">
        <f>+Z26+AA26+AB26</f>
        <v>21081.896154842965</v>
      </c>
    </row>
    <row r="27" spans="1:31" ht="24.6" x14ac:dyDescent="0.3">
      <c r="A27" s="6"/>
      <c r="B27" s="23" t="s">
        <v>42</v>
      </c>
      <c r="C27" s="75"/>
      <c r="D27" s="76"/>
      <c r="E27" s="76"/>
      <c r="F27" s="76"/>
      <c r="G27" s="76"/>
      <c r="H27" s="76"/>
      <c r="I27" s="76"/>
      <c r="J27" s="76"/>
      <c r="K27" s="76"/>
      <c r="L27" s="76"/>
      <c r="M27" s="76"/>
      <c r="N27" s="76"/>
      <c r="O27" s="76"/>
      <c r="P27" s="76"/>
      <c r="Q27" s="81"/>
      <c r="R27" s="81"/>
      <c r="S27" s="76"/>
      <c r="T27" s="76"/>
      <c r="U27" s="76"/>
      <c r="V27" s="76"/>
      <c r="W27" s="76"/>
      <c r="X27" s="76"/>
      <c r="Y27" s="76"/>
      <c r="Z27" s="77"/>
      <c r="AA27" s="76"/>
      <c r="AB27" s="76"/>
      <c r="AC27" s="76">
        <f t="shared" ref="AC27:AC28" si="6">+Z27+AA27+AB27</f>
        <v>0</v>
      </c>
    </row>
    <row r="28" spans="1:31" ht="14.45" x14ac:dyDescent="0.3">
      <c r="A28" s="6"/>
      <c r="B28" s="24" t="s">
        <v>43</v>
      </c>
      <c r="C28" s="75"/>
      <c r="D28" s="76"/>
      <c r="E28" s="76"/>
      <c r="F28" s="76"/>
      <c r="G28" s="76"/>
      <c r="H28" s="76"/>
      <c r="I28" s="76"/>
      <c r="J28" s="76"/>
      <c r="K28" s="76"/>
      <c r="L28" s="76"/>
      <c r="M28" s="76"/>
      <c r="N28" s="76"/>
      <c r="O28" s="76"/>
      <c r="P28" s="76"/>
      <c r="Q28" s="81"/>
      <c r="R28" s="81"/>
      <c r="S28" s="76"/>
      <c r="T28" s="76"/>
      <c r="U28" s="76"/>
      <c r="V28" s="76"/>
      <c r="W28" s="76"/>
      <c r="X28" s="76"/>
      <c r="Y28" s="76"/>
      <c r="Z28" s="77"/>
      <c r="AA28" s="76"/>
      <c r="AB28" s="76"/>
      <c r="AC28" s="76">
        <f t="shared" si="6"/>
        <v>0</v>
      </c>
    </row>
    <row r="29" spans="1:31" ht="14.45" x14ac:dyDescent="0.3">
      <c r="A29" s="6"/>
      <c r="B29" s="24" t="s">
        <v>44</v>
      </c>
      <c r="C29" s="75"/>
      <c r="D29" s="76"/>
      <c r="E29" s="76"/>
      <c r="F29" s="76"/>
      <c r="G29" s="76"/>
      <c r="H29" s="76"/>
      <c r="I29" s="76"/>
      <c r="J29" s="76"/>
      <c r="K29" s="76"/>
      <c r="L29" s="76"/>
      <c r="M29" s="76"/>
      <c r="N29" s="76"/>
      <c r="O29" s="76"/>
      <c r="P29" s="76">
        <f>+P7-P22</f>
        <v>21081.896154842965</v>
      </c>
      <c r="Q29" s="81"/>
      <c r="R29" s="81"/>
      <c r="S29" s="76"/>
      <c r="T29" s="76"/>
      <c r="U29" s="76"/>
      <c r="V29" s="76"/>
      <c r="W29" s="76"/>
      <c r="X29" s="76"/>
      <c r="Y29" s="76"/>
      <c r="Z29" s="77">
        <f>SUM(C29:Y29)</f>
        <v>21081.896154842965</v>
      </c>
      <c r="AA29" s="76"/>
      <c r="AB29" s="76"/>
      <c r="AC29" s="76">
        <f>+Z29+AA29+AB29</f>
        <v>21081.896154842965</v>
      </c>
    </row>
    <row r="30" spans="1:31" ht="14.45" x14ac:dyDescent="0.3">
      <c r="A30" s="6"/>
      <c r="B30" s="24" t="s">
        <v>45</v>
      </c>
      <c r="C30" s="75"/>
      <c r="D30" s="76"/>
      <c r="E30" s="76"/>
      <c r="F30" s="76"/>
      <c r="G30" s="76"/>
      <c r="H30" s="76"/>
      <c r="I30" s="76"/>
      <c r="J30" s="76"/>
      <c r="K30" s="76"/>
      <c r="L30" s="76"/>
      <c r="M30" s="76"/>
      <c r="N30" s="76"/>
      <c r="O30" s="76"/>
      <c r="P30" s="76"/>
      <c r="Q30" s="81"/>
      <c r="R30" s="81"/>
      <c r="S30" s="76"/>
      <c r="T30" s="76"/>
      <c r="U30" s="76"/>
      <c r="V30" s="76"/>
      <c r="W30" s="76"/>
      <c r="X30" s="76"/>
      <c r="Y30" s="76"/>
      <c r="Z30" s="77"/>
      <c r="AA30" s="76"/>
      <c r="AB30" s="76"/>
      <c r="AC30" s="76"/>
    </row>
    <row r="31" spans="1:31" ht="14.45" x14ac:dyDescent="0.3">
      <c r="A31" s="6"/>
      <c r="B31" s="23" t="s">
        <v>46</v>
      </c>
      <c r="C31" s="75"/>
      <c r="D31" s="76"/>
      <c r="E31" s="76"/>
      <c r="F31" s="76"/>
      <c r="G31" s="76"/>
      <c r="H31" s="76"/>
      <c r="I31" s="76"/>
      <c r="J31" s="76"/>
      <c r="K31" s="76"/>
      <c r="L31" s="76"/>
      <c r="M31" s="76"/>
      <c r="N31" s="76"/>
      <c r="O31" s="76"/>
      <c r="P31" s="76"/>
      <c r="Q31" s="81"/>
      <c r="R31" s="81"/>
      <c r="S31" s="76"/>
      <c r="T31" s="76"/>
      <c r="U31" s="76"/>
      <c r="V31" s="76"/>
      <c r="W31" s="76"/>
      <c r="X31" s="76"/>
      <c r="Y31" s="76"/>
      <c r="Z31" s="77"/>
      <c r="AA31" s="76"/>
      <c r="AB31" s="76"/>
      <c r="AC31" s="76"/>
    </row>
    <row r="32" spans="1:31" ht="14.45" x14ac:dyDescent="0.3">
      <c r="A32" s="6"/>
      <c r="B32" s="22"/>
      <c r="C32" s="75"/>
      <c r="D32" s="76"/>
      <c r="E32" s="76"/>
      <c r="F32" s="76"/>
      <c r="G32" s="76"/>
      <c r="H32" s="76"/>
      <c r="I32" s="76"/>
      <c r="J32" s="76"/>
      <c r="K32" s="76"/>
      <c r="L32" s="76"/>
      <c r="M32" s="76"/>
      <c r="N32" s="76"/>
      <c r="O32" s="76"/>
      <c r="P32" s="76"/>
      <c r="Q32" s="81"/>
      <c r="R32" s="81"/>
      <c r="S32" s="76"/>
      <c r="T32" s="76"/>
      <c r="U32" s="76"/>
      <c r="V32" s="76"/>
      <c r="W32" s="76"/>
      <c r="X32" s="76"/>
      <c r="Y32" s="76"/>
      <c r="Z32" s="77"/>
      <c r="AA32" s="76"/>
      <c r="AB32" s="76"/>
      <c r="AC32" s="76"/>
    </row>
    <row r="33" spans="1:31" ht="14.45" x14ac:dyDescent="0.3">
      <c r="A33" s="6"/>
      <c r="B33" s="25" t="s">
        <v>47</v>
      </c>
      <c r="C33" s="75">
        <f>+C22+C26</f>
        <v>0</v>
      </c>
      <c r="D33" s="76">
        <f t="shared" ref="D33:AB33" si="7">+D22+D26</f>
        <v>0</v>
      </c>
      <c r="E33" s="76">
        <f t="shared" si="7"/>
        <v>2000.39</v>
      </c>
      <c r="F33" s="76">
        <f t="shared" si="7"/>
        <v>0</v>
      </c>
      <c r="G33" s="76">
        <f t="shared" si="7"/>
        <v>0</v>
      </c>
      <c r="H33" s="76">
        <f t="shared" si="7"/>
        <v>0</v>
      </c>
      <c r="I33" s="76">
        <f t="shared" si="7"/>
        <v>0</v>
      </c>
      <c r="J33" s="76">
        <f t="shared" si="7"/>
        <v>0</v>
      </c>
      <c r="K33" s="76">
        <f t="shared" si="7"/>
        <v>0</v>
      </c>
      <c r="L33" s="76">
        <f t="shared" si="7"/>
        <v>0</v>
      </c>
      <c r="M33" s="76">
        <f t="shared" si="7"/>
        <v>0</v>
      </c>
      <c r="N33" s="76">
        <f t="shared" si="7"/>
        <v>0</v>
      </c>
      <c r="O33" s="76">
        <f t="shared" si="7"/>
        <v>72.795000000000002</v>
      </c>
      <c r="P33" s="76">
        <f t="shared" si="7"/>
        <v>87735.635975361452</v>
      </c>
      <c r="Q33" s="76">
        <f>+Q22+Q26</f>
        <v>1775.9059999999999</v>
      </c>
      <c r="R33" s="76"/>
      <c r="S33" s="76">
        <f t="shared" si="7"/>
        <v>0</v>
      </c>
      <c r="T33" s="76">
        <f t="shared" si="7"/>
        <v>0</v>
      </c>
      <c r="U33" s="76">
        <f t="shared" si="7"/>
        <v>0</v>
      </c>
      <c r="V33" s="76">
        <f t="shared" si="7"/>
        <v>0</v>
      </c>
      <c r="W33" s="76">
        <f t="shared" si="7"/>
        <v>0</v>
      </c>
      <c r="X33" s="76">
        <f t="shared" si="7"/>
        <v>0</v>
      </c>
      <c r="Y33" s="76">
        <f t="shared" si="7"/>
        <v>0</v>
      </c>
      <c r="Z33" s="77">
        <f>SUM(C33:Y33)</f>
        <v>91584.726975361453</v>
      </c>
      <c r="AA33" s="76">
        <f>+R22+AA26</f>
        <v>0</v>
      </c>
      <c r="AB33" s="76">
        <f t="shared" si="7"/>
        <v>7042.7030000000004</v>
      </c>
      <c r="AC33" s="76">
        <f>+Z33+AA33+AB33</f>
        <v>98627.429975361447</v>
      </c>
      <c r="AE33" s="60"/>
    </row>
    <row r="34" spans="1:31" ht="14.45" x14ac:dyDescent="0.3">
      <c r="A34" s="6"/>
      <c r="B34" s="5" t="s">
        <v>48</v>
      </c>
      <c r="C34" s="78">
        <f>+C19-C33</f>
        <v>23729.520855507631</v>
      </c>
      <c r="D34" s="77">
        <f t="shared" ref="D34:Q34" si="8">+D19-D33</f>
        <v>46431.79043680105</v>
      </c>
      <c r="E34" s="77">
        <f t="shared" si="8"/>
        <v>25683.84098064611</v>
      </c>
      <c r="F34" s="77">
        <f t="shared" si="8"/>
        <v>9465.7482563332906</v>
      </c>
      <c r="G34" s="77">
        <f t="shared" si="8"/>
        <v>867.69729539523405</v>
      </c>
      <c r="H34" s="77">
        <f t="shared" si="8"/>
        <v>917.51503360721381</v>
      </c>
      <c r="I34" s="77">
        <f t="shared" si="8"/>
        <v>2045.6902713704794</v>
      </c>
      <c r="J34" s="77">
        <f t="shared" si="8"/>
        <v>51.212359576916654</v>
      </c>
      <c r="K34" s="77">
        <f t="shared" si="8"/>
        <v>952.50383651002608</v>
      </c>
      <c r="L34" s="77">
        <f t="shared" si="8"/>
        <v>174.48388690155397</v>
      </c>
      <c r="M34" s="77">
        <f t="shared" si="8"/>
        <v>1.0108119480903608</v>
      </c>
      <c r="N34" s="77">
        <f t="shared" si="8"/>
        <v>1008.9888954023734</v>
      </c>
      <c r="O34" s="77">
        <f t="shared" si="8"/>
        <v>774.84585357343394</v>
      </c>
      <c r="P34" s="77">
        <f t="shared" si="8"/>
        <v>2110.0313821252203</v>
      </c>
      <c r="Q34" s="77">
        <f t="shared" si="8"/>
        <v>-1775.9059999999999</v>
      </c>
      <c r="R34" s="82">
        <f>+R19-R33</f>
        <v>295.142301624754</v>
      </c>
      <c r="S34" s="82">
        <f t="shared" ref="S34:Z34" si="9">+S19-S33</f>
        <v>1035.2974680283239</v>
      </c>
      <c r="T34" s="82">
        <f t="shared" si="9"/>
        <v>765.72543437778063</v>
      </c>
      <c r="U34" s="82">
        <f t="shared" si="9"/>
        <v>196.81258552499204</v>
      </c>
      <c r="V34" s="82">
        <f t="shared" si="9"/>
        <v>1376.7258732990715</v>
      </c>
      <c r="W34" s="82">
        <f t="shared" si="9"/>
        <v>6153.0822735742859</v>
      </c>
      <c r="X34" s="82">
        <f t="shared" si="9"/>
        <v>10303.226255251837</v>
      </c>
      <c r="Y34" s="82">
        <f t="shared" si="9"/>
        <v>68.781686582700416</v>
      </c>
      <c r="Z34" s="82">
        <f t="shared" si="9"/>
        <v>132633.76803396241</v>
      </c>
      <c r="AA34" s="82">
        <f t="shared" ref="AA34:AB34" si="10">+AA19-AA33</f>
        <v>41177.040218164999</v>
      </c>
      <c r="AB34" s="82">
        <f t="shared" si="10"/>
        <v>-7042.7030000000004</v>
      </c>
      <c r="AC34" s="82">
        <f>+AC19-AC33</f>
        <v>166768.1052521274</v>
      </c>
      <c r="AD34" s="60"/>
      <c r="AE34" s="59"/>
    </row>
    <row r="36" spans="1:31" ht="14.45" x14ac:dyDescent="0.3">
      <c r="C36" s="42"/>
      <c r="E36" s="42"/>
      <c r="O36" s="42"/>
      <c r="AA36" s="42"/>
    </row>
    <row r="37" spans="1:31" ht="14.45" x14ac:dyDescent="0.3">
      <c r="A37" t="s">
        <v>49</v>
      </c>
      <c r="C37">
        <v>1775906</v>
      </c>
      <c r="D37" s="61"/>
      <c r="P37" s="43"/>
      <c r="Q37" s="43"/>
      <c r="AB37" s="41"/>
    </row>
    <row r="39" spans="1:31" ht="14.45" x14ac:dyDescent="0.3">
      <c r="C39" s="62"/>
      <c r="P39" s="42"/>
      <c r="Q39" s="42"/>
    </row>
    <row r="40" spans="1:31" ht="14.45" x14ac:dyDescent="0.3">
      <c r="P40" s="42"/>
      <c r="Q40" s="42"/>
    </row>
    <row r="41" spans="1:31" ht="14.45" x14ac:dyDescent="0.3">
      <c r="A41" t="s">
        <v>71</v>
      </c>
    </row>
    <row r="42" spans="1:31" ht="14.45" x14ac:dyDescent="0.3">
      <c r="A42" t="s">
        <v>65</v>
      </c>
      <c r="P42" s="42"/>
      <c r="Q42" s="42"/>
    </row>
    <row r="43" spans="1:31" ht="14.45" x14ac:dyDescent="0.3">
      <c r="P43" s="42"/>
      <c r="Q43" s="42"/>
    </row>
    <row r="44" spans="1:31" ht="14.45" x14ac:dyDescent="0.3">
      <c r="E44" s="59"/>
      <c r="F44" s="59"/>
    </row>
    <row r="45" spans="1:31" x14ac:dyDescent="0.25">
      <c r="E45" s="59"/>
    </row>
    <row r="46" spans="1:31" x14ac:dyDescent="0.25">
      <c r="E46" s="42"/>
    </row>
  </sheetData>
  <sheetProtection sheet="1" objects="1" scenarios="1"/>
  <mergeCells count="5">
    <mergeCell ref="C2:D2"/>
    <mergeCell ref="E2:J2"/>
    <mergeCell ref="K2:N2"/>
    <mergeCell ref="A6:A15"/>
    <mergeCell ref="A2: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9"/>
  <sheetViews>
    <sheetView workbookViewId="0">
      <selection activeCell="G18" sqref="G18"/>
    </sheetView>
  </sheetViews>
  <sheetFormatPr defaultRowHeight="15" x14ac:dyDescent="0.25"/>
  <cols>
    <col min="1" max="1" width="3.28515625" customWidth="1"/>
  </cols>
  <sheetData>
    <row r="2" spans="1:2" x14ac:dyDescent="0.3">
      <c r="A2" s="34">
        <v>1</v>
      </c>
      <c r="B2" s="35" t="s">
        <v>56</v>
      </c>
    </row>
    <row r="3" spans="1:2" x14ac:dyDescent="0.3">
      <c r="A3" s="36">
        <v>2</v>
      </c>
      <c r="B3" s="35" t="s">
        <v>57</v>
      </c>
    </row>
    <row r="4" spans="1:2" x14ac:dyDescent="0.3">
      <c r="A4" s="34">
        <v>3</v>
      </c>
      <c r="B4" s="35" t="s">
        <v>52</v>
      </c>
    </row>
    <row r="5" spans="1:2" x14ac:dyDescent="0.3">
      <c r="A5" s="36">
        <v>4</v>
      </c>
      <c r="B5" s="37" t="s">
        <v>53</v>
      </c>
    </row>
    <row r="6" spans="1:2" x14ac:dyDescent="0.3">
      <c r="A6" s="34">
        <v>5</v>
      </c>
      <c r="B6" s="35" t="s">
        <v>58</v>
      </c>
    </row>
    <row r="7" spans="1:2" x14ac:dyDescent="0.3">
      <c r="A7" s="36">
        <v>6</v>
      </c>
      <c r="B7" s="38" t="s">
        <v>54</v>
      </c>
    </row>
    <row r="8" spans="1:2" x14ac:dyDescent="0.3">
      <c r="A8" s="39">
        <v>7</v>
      </c>
      <c r="B8" s="40" t="s">
        <v>55</v>
      </c>
    </row>
    <row r="9" spans="1:2" x14ac:dyDescent="0.3">
      <c r="A9" s="39">
        <v>8</v>
      </c>
      <c r="B9" s="4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Bots SEEA 2014-15</vt: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Jaap</dc:creator>
  <cp:lastModifiedBy>Ogopotse Batlokwa Pule</cp:lastModifiedBy>
  <dcterms:created xsi:type="dcterms:W3CDTF">2015-12-15T10:24:37Z</dcterms:created>
  <dcterms:modified xsi:type="dcterms:W3CDTF">2016-04-08T09:27:46Z</dcterms:modified>
</cp:coreProperties>
</file>